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ТРОСТЯНКО\Тростянко 2020\ГОСУДАРСТВЕННАЯ ПРОГРАММА 2017-2020 ГОДЫ\ОТЧЕТ ЗА 2019 год\Итоговый отчет за 2019 г\"/>
    </mc:Choice>
  </mc:AlternateContent>
  <bookViews>
    <workbookView xWindow="0" yWindow="0" windowWidth="20730" windowHeight="11760" firstSheet="4" activeTab="4"/>
  </bookViews>
  <sheets>
    <sheet name="2016" sheetId="2" state="hidden" r:id="rId1"/>
    <sheet name="2017" sheetId="4" state="hidden" r:id="rId2"/>
    <sheet name="2018" sheetId="5" state="hidden" r:id="rId3"/>
    <sheet name="2019" sheetId="3" state="hidden" r:id="rId4"/>
    <sheet name="Форма 7" sheetId="6" r:id="rId5"/>
  </sheets>
  <calcPr calcId="152511"/>
</workbook>
</file>

<file path=xl/calcChain.xml><?xml version="1.0" encoding="utf-8"?>
<calcChain xmlns="http://schemas.openxmlformats.org/spreadsheetml/2006/main">
  <c r="D675" i="6" l="1"/>
  <c r="E1018" i="3" l="1"/>
  <c r="I1018" i="3"/>
  <c r="F1018" i="3" l="1"/>
  <c r="F876" i="6" l="1"/>
  <c r="F956" i="6"/>
  <c r="F949" i="6"/>
  <c r="F936" i="6"/>
  <c r="F927" i="6"/>
  <c r="F904" i="6"/>
  <c r="F897" i="6"/>
  <c r="F879" i="6"/>
  <c r="F888" i="6"/>
  <c r="F522" i="6" l="1"/>
  <c r="F512" i="6"/>
  <c r="F509" i="6"/>
  <c r="F506" i="6"/>
  <c r="F493" i="6"/>
  <c r="F317" i="6"/>
  <c r="F315" i="6"/>
  <c r="F313" i="6"/>
  <c r="F311" i="6"/>
  <c r="F307" i="6"/>
  <c r="F305" i="6"/>
  <c r="F303" i="6"/>
  <c r="F297" i="6"/>
  <c r="F294" i="6"/>
  <c r="F291" i="6"/>
  <c r="F290" i="6"/>
  <c r="F286" i="6"/>
  <c r="F280" i="6"/>
  <c r="F278" i="6"/>
  <c r="F276" i="6"/>
  <c r="F274" i="6"/>
  <c r="F272" i="6"/>
  <c r="F271" i="6"/>
  <c r="F267" i="6"/>
  <c r="F265" i="6"/>
  <c r="F263" i="6"/>
  <c r="F261" i="6"/>
  <c r="F259" i="6"/>
  <c r="F301" i="6"/>
  <c r="F299" i="6"/>
  <c r="F519" i="6"/>
  <c r="F500" i="6"/>
  <c r="F499" i="6"/>
  <c r="F498" i="6"/>
  <c r="F494" i="6" l="1"/>
  <c r="F492" i="6"/>
  <c r="E301" i="6"/>
  <c r="F287" i="6"/>
  <c r="K362" i="4"/>
  <c r="J362" i="4"/>
  <c r="J185" i="4"/>
  <c r="I185" i="4"/>
  <c r="D667" i="6" l="1"/>
  <c r="D369" i="6"/>
  <c r="F603" i="6"/>
  <c r="F601" i="6"/>
  <c r="F325" i="6" l="1"/>
  <c r="L335" i="2" l="1"/>
  <c r="K335" i="2"/>
  <c r="L169" i="2"/>
  <c r="K169" i="2"/>
  <c r="F369" i="6" l="1"/>
  <c r="D319" i="6"/>
  <c r="F319" i="6" s="1"/>
  <c r="F257" i="6"/>
  <c r="F255" i="6"/>
  <c r="F253" i="6"/>
  <c r="F251" i="6"/>
  <c r="F249" i="6"/>
  <c r="F238" i="6" l="1"/>
  <c r="F881" i="6"/>
  <c r="F939" i="6" l="1"/>
  <c r="F950" i="6"/>
  <c r="F907" i="6"/>
  <c r="F930" i="6"/>
  <c r="F900" i="6"/>
  <c r="F891" i="6"/>
  <c r="F882" i="6"/>
  <c r="F957" i="6" l="1"/>
  <c r="F937" i="6"/>
  <c r="F928" i="6"/>
  <c r="F920" i="6"/>
  <c r="F914" i="6"/>
  <c r="F910" i="6"/>
  <c r="F898" i="6"/>
  <c r="F889" i="6"/>
  <c r="F880" i="6"/>
  <c r="F955" i="6" l="1"/>
  <c r="F935" i="6"/>
  <c r="F896" i="6"/>
  <c r="F887" i="6"/>
  <c r="F878" i="6"/>
  <c r="F954" i="6"/>
  <c r="F934" i="6"/>
  <c r="F925" i="6"/>
  <c r="F903" i="6"/>
  <c r="F895" i="6"/>
  <c r="F886" i="6"/>
  <c r="F877" i="6"/>
  <c r="F953" i="6"/>
  <c r="F942" i="6"/>
  <c r="F933" i="6"/>
  <c r="F924" i="6"/>
  <c r="F917" i="6"/>
  <c r="F894" i="6"/>
  <c r="F864" i="6"/>
  <c r="F862" i="6"/>
  <c r="F860" i="6"/>
  <c r="F858" i="6"/>
  <c r="F968" i="6"/>
  <c r="F994" i="6" l="1"/>
  <c r="F992" i="6"/>
  <c r="F710" i="6"/>
  <c r="K518" i="2"/>
  <c r="F841" i="6"/>
  <c r="F837" i="6"/>
  <c r="F833" i="6"/>
  <c r="F828" i="6"/>
  <c r="F817" i="6"/>
  <c r="F782" i="6"/>
  <c r="F779" i="6"/>
  <c r="F777" i="6"/>
  <c r="F774" i="6"/>
  <c r="F771" i="6"/>
  <c r="F768" i="6"/>
  <c r="F756" i="6"/>
  <c r="F758" i="6"/>
  <c r="F746" i="6"/>
  <c r="F744" i="6"/>
  <c r="F742" i="6"/>
  <c r="F740" i="6"/>
  <c r="F738" i="6"/>
  <c r="F733" i="6"/>
  <c r="F731" i="6"/>
  <c r="F729" i="6"/>
  <c r="F727" i="6"/>
  <c r="F721" i="6"/>
  <c r="F719" i="6"/>
  <c r="F717" i="6"/>
  <c r="F712" i="6"/>
  <c r="F708" i="6"/>
  <c r="F706" i="6"/>
  <c r="F704" i="6"/>
  <c r="F702" i="6"/>
  <c r="F693" i="6"/>
  <c r="F691" i="6"/>
  <c r="F689" i="6"/>
  <c r="F687" i="6"/>
  <c r="K546" i="2"/>
  <c r="D847" i="6"/>
  <c r="D835" i="6"/>
  <c r="J525" i="2"/>
  <c r="F197" i="6" l="1"/>
  <c r="F194" i="6"/>
  <c r="F213" i="6"/>
  <c r="F233" i="6"/>
  <c r="F231" i="6"/>
  <c r="F211" i="6"/>
  <c r="F184" i="6"/>
  <c r="F182" i="6"/>
  <c r="F177" i="6"/>
  <c r="F18" i="6"/>
  <c r="F71" i="6"/>
  <c r="F165" i="6"/>
  <c r="F163" i="6"/>
  <c r="F161" i="6"/>
  <c r="F159" i="6"/>
  <c r="F157" i="6"/>
  <c r="F152" i="6"/>
  <c r="F150" i="6"/>
  <c r="F143" i="6"/>
  <c r="F141" i="6"/>
  <c r="F139" i="6"/>
  <c r="F137" i="6"/>
  <c r="F135" i="6"/>
  <c r="F133" i="6"/>
  <c r="F131" i="6"/>
  <c r="F129" i="6"/>
  <c r="F127" i="6"/>
  <c r="F125" i="6"/>
  <c r="F123" i="6"/>
  <c r="F118" i="6"/>
  <c r="F116" i="6"/>
  <c r="F114" i="6"/>
  <c r="F109" i="6"/>
  <c r="F107" i="6"/>
  <c r="F97" i="6"/>
  <c r="F95" i="6"/>
  <c r="F88" i="6"/>
  <c r="F9" i="6"/>
  <c r="F73" i="6" l="1"/>
  <c r="F69" i="6"/>
  <c r="F67" i="6"/>
  <c r="F66" i="6"/>
  <c r="F63" i="6"/>
  <c r="F64" i="6"/>
  <c r="F59" i="6"/>
  <c r="F57" i="6"/>
  <c r="F55" i="6"/>
  <c r="F53" i="6"/>
  <c r="F52" i="6"/>
  <c r="F50" i="6"/>
  <c r="F49" i="6"/>
  <c r="F47" i="6"/>
  <c r="F46" i="6"/>
  <c r="F44" i="6"/>
  <c r="F41" i="6"/>
  <c r="F40" i="6"/>
  <c r="F31" i="6"/>
  <c r="F29" i="6"/>
  <c r="F77" i="6" l="1"/>
  <c r="F26" i="6"/>
  <c r="F25" i="6"/>
  <c r="F19" i="6"/>
  <c r="F16" i="6"/>
  <c r="F15" i="6" l="1"/>
  <c r="F13" i="6"/>
  <c r="F10" i="6"/>
  <c r="J17" i="3"/>
  <c r="J15" i="3"/>
  <c r="J12" i="3"/>
  <c r="J11" i="3"/>
  <c r="E1003" i="6" l="1"/>
  <c r="E1002" i="6"/>
  <c r="E1001" i="6"/>
  <c r="E1000" i="6"/>
  <c r="E999" i="6"/>
  <c r="E998" i="6"/>
  <c r="E997" i="6"/>
  <c r="E994" i="6"/>
  <c r="E993" i="6" s="1"/>
  <c r="E992" i="6"/>
  <c r="E991" i="6" s="1"/>
  <c r="E990" i="6"/>
  <c r="E989" i="6" s="1"/>
  <c r="E988" i="6"/>
  <c r="E987" i="6" s="1"/>
  <c r="E986" i="6"/>
  <c r="D982" i="6"/>
  <c r="C982" i="6"/>
  <c r="D981" i="6"/>
  <c r="C981" i="6"/>
  <c r="F979" i="6"/>
  <c r="E979" i="6"/>
  <c r="E978" i="6" s="1"/>
  <c r="D978" i="6"/>
  <c r="C978" i="6"/>
  <c r="E977" i="6"/>
  <c r="F976" i="6"/>
  <c r="D976" i="6"/>
  <c r="C976" i="6"/>
  <c r="F975" i="6"/>
  <c r="E975" i="6"/>
  <c r="D974" i="6"/>
  <c r="C974" i="6"/>
  <c r="F973" i="6"/>
  <c r="E973" i="6"/>
  <c r="F972" i="6"/>
  <c r="E972" i="6"/>
  <c r="D970" i="6"/>
  <c r="C970" i="6"/>
  <c r="C969" i="6" s="1"/>
  <c r="E968" i="6"/>
  <c r="D967" i="6"/>
  <c r="C967" i="6"/>
  <c r="D963" i="6"/>
  <c r="C963" i="6"/>
  <c r="F961" i="6"/>
  <c r="E961" i="6"/>
  <c r="E960" i="6" s="1"/>
  <c r="E959" i="6" s="1"/>
  <c r="D960" i="6"/>
  <c r="C960" i="6"/>
  <c r="C959" i="6" s="1"/>
  <c r="F958" i="6"/>
  <c r="E958" i="6"/>
  <c r="E957" i="6"/>
  <c r="E956" i="6"/>
  <c r="E955" i="6"/>
  <c r="E954" i="6"/>
  <c r="E953" i="6"/>
  <c r="D952" i="6"/>
  <c r="C952" i="6"/>
  <c r="C951" i="6" s="1"/>
  <c r="E950" i="6"/>
  <c r="E949" i="6"/>
  <c r="D948" i="6"/>
  <c r="C948" i="6"/>
  <c r="C947" i="6" s="1"/>
  <c r="E946" i="6"/>
  <c r="E945" i="6" s="1"/>
  <c r="E944" i="6" s="1"/>
  <c r="E943" i="6"/>
  <c r="E942" i="6"/>
  <c r="D941" i="6"/>
  <c r="C941" i="6"/>
  <c r="C940" i="6" s="1"/>
  <c r="E939" i="6"/>
  <c r="F938" i="6"/>
  <c r="E938" i="6"/>
  <c r="E937" i="6"/>
  <c r="E936" i="6"/>
  <c r="E935" i="6"/>
  <c r="E934" i="6"/>
  <c r="E933" i="6"/>
  <c r="D932" i="6"/>
  <c r="C932" i="6"/>
  <c r="C931" i="6" s="1"/>
  <c r="E930" i="6"/>
  <c r="F929" i="6"/>
  <c r="E929" i="6"/>
  <c r="E928" i="6"/>
  <c r="E927" i="6"/>
  <c r="E926" i="6"/>
  <c r="E925" i="6"/>
  <c r="E924" i="6"/>
  <c r="D923" i="6"/>
  <c r="C923" i="6"/>
  <c r="C922" i="6" s="1"/>
  <c r="F921" i="6"/>
  <c r="E921" i="6"/>
  <c r="E920" i="6"/>
  <c r="F919" i="6"/>
  <c r="E919" i="6"/>
  <c r="F918" i="6"/>
  <c r="E918" i="6"/>
  <c r="E917" i="6"/>
  <c r="D916" i="6"/>
  <c r="C916" i="6"/>
  <c r="C915" i="6" s="1"/>
  <c r="E914" i="6"/>
  <c r="E913" i="6" s="1"/>
  <c r="D913" i="6"/>
  <c r="C913" i="6"/>
  <c r="C912" i="6" s="1"/>
  <c r="E911" i="6"/>
  <c r="E910" i="6"/>
  <c r="D909" i="6"/>
  <c r="C909" i="6"/>
  <c r="E907" i="6"/>
  <c r="F906" i="6"/>
  <c r="E906" i="6"/>
  <c r="F905" i="6"/>
  <c r="E905" i="6"/>
  <c r="E904" i="6"/>
  <c r="E903" i="6"/>
  <c r="D902" i="6"/>
  <c r="C902" i="6"/>
  <c r="C901" i="6" s="1"/>
  <c r="E900" i="6"/>
  <c r="F899" i="6"/>
  <c r="E899" i="6"/>
  <c r="E898" i="6"/>
  <c r="E897" i="6"/>
  <c r="E896" i="6"/>
  <c r="E895" i="6"/>
  <c r="E894" i="6"/>
  <c r="D893" i="6"/>
  <c r="C893" i="6"/>
  <c r="C892" i="6" s="1"/>
  <c r="E891" i="6"/>
  <c r="F890" i="6"/>
  <c r="E890" i="6"/>
  <c r="E889" i="6"/>
  <c r="E888" i="6"/>
  <c r="E887" i="6"/>
  <c r="E886" i="6"/>
  <c r="F885" i="6"/>
  <c r="D884" i="6"/>
  <c r="C884" i="6"/>
  <c r="E882" i="6"/>
  <c r="E881" i="6"/>
  <c r="E880" i="6"/>
  <c r="E879" i="6"/>
  <c r="E878" i="6"/>
  <c r="E877" i="6"/>
  <c r="E876" i="6"/>
  <c r="D875" i="6"/>
  <c r="C875" i="6"/>
  <c r="D873" i="6"/>
  <c r="C873" i="6"/>
  <c r="D872" i="6"/>
  <c r="C872" i="6"/>
  <c r="D871" i="6"/>
  <c r="C871" i="6"/>
  <c r="D870" i="6"/>
  <c r="C870" i="6"/>
  <c r="D869" i="6"/>
  <c r="C869" i="6"/>
  <c r="D868" i="6"/>
  <c r="C868" i="6"/>
  <c r="D867" i="6"/>
  <c r="C867" i="6"/>
  <c r="E864" i="6"/>
  <c r="E863" i="6" s="1"/>
  <c r="D863" i="6"/>
  <c r="C863" i="6"/>
  <c r="E862" i="6"/>
  <c r="D861" i="6"/>
  <c r="C861" i="6"/>
  <c r="E860" i="6"/>
  <c r="D859" i="6"/>
  <c r="C859" i="6"/>
  <c r="E858" i="6"/>
  <c r="E857" i="6" s="1"/>
  <c r="D857" i="6"/>
  <c r="C857" i="6"/>
  <c r="C847" i="6"/>
  <c r="C844" i="6" s="1"/>
  <c r="F846" i="6"/>
  <c r="E846" i="6"/>
  <c r="F845" i="6"/>
  <c r="E845" i="6"/>
  <c r="F843" i="6"/>
  <c r="E843" i="6"/>
  <c r="D842" i="6"/>
  <c r="C842" i="6"/>
  <c r="E841" i="6"/>
  <c r="E840" i="6" s="1"/>
  <c r="D840" i="6"/>
  <c r="C840" i="6"/>
  <c r="F838" i="6"/>
  <c r="E838" i="6"/>
  <c r="E837" i="6"/>
  <c r="E836" i="6" s="1"/>
  <c r="D836" i="6"/>
  <c r="C836" i="6"/>
  <c r="C835" i="6"/>
  <c r="F834" i="6"/>
  <c r="E834" i="6"/>
  <c r="E833" i="6"/>
  <c r="F832" i="6"/>
  <c r="E832" i="6"/>
  <c r="F831" i="6"/>
  <c r="E831" i="6"/>
  <c r="F830" i="6"/>
  <c r="E830" i="6"/>
  <c r="E828" i="6"/>
  <c r="E827" i="6" s="1"/>
  <c r="D827" i="6"/>
  <c r="C827" i="6"/>
  <c r="D825" i="6"/>
  <c r="C825" i="6"/>
  <c r="C852" i="6" s="1"/>
  <c r="F823" i="6"/>
  <c r="E823" i="6"/>
  <c r="E822" i="6" s="1"/>
  <c r="D822" i="6"/>
  <c r="C822" i="6"/>
  <c r="F821" i="6"/>
  <c r="E821" i="6"/>
  <c r="D820" i="6"/>
  <c r="C820" i="6"/>
  <c r="F819" i="6"/>
  <c r="E819" i="6"/>
  <c r="E818" i="6" s="1"/>
  <c r="D818" i="6"/>
  <c r="C818" i="6"/>
  <c r="E817" i="6"/>
  <c r="E816" i="6" s="1"/>
  <c r="D816" i="6"/>
  <c r="C816" i="6"/>
  <c r="D814" i="6"/>
  <c r="C814" i="6"/>
  <c r="C813" i="6" s="1"/>
  <c r="F812" i="6"/>
  <c r="E812" i="6"/>
  <c r="D811" i="6"/>
  <c r="C811" i="6"/>
  <c r="D809" i="6"/>
  <c r="C809" i="6"/>
  <c r="C808" i="6" s="1"/>
  <c r="F807" i="6"/>
  <c r="E807" i="6"/>
  <c r="F805" i="6"/>
  <c r="E805" i="6"/>
  <c r="E804" i="6" s="1"/>
  <c r="D804" i="6"/>
  <c r="C804" i="6"/>
  <c r="F803" i="6"/>
  <c r="E803" i="6"/>
  <c r="E802" i="6" s="1"/>
  <c r="D802" i="6"/>
  <c r="C802" i="6"/>
  <c r="F801" i="6"/>
  <c r="E801" i="6"/>
  <c r="E800" i="6" s="1"/>
  <c r="D800" i="6"/>
  <c r="C800" i="6"/>
  <c r="F799" i="6"/>
  <c r="E799" i="6"/>
  <c r="E798" i="6" s="1"/>
  <c r="D798" i="6"/>
  <c r="C798" i="6"/>
  <c r="F797" i="6"/>
  <c r="E797" i="6"/>
  <c r="D796" i="6"/>
  <c r="C796" i="6"/>
  <c r="F795" i="6"/>
  <c r="E795" i="6"/>
  <c r="E794" i="6" s="1"/>
  <c r="D794" i="6"/>
  <c r="C794" i="6"/>
  <c r="F793" i="6"/>
  <c r="E793" i="6"/>
  <c r="E792" i="6" s="1"/>
  <c r="D792" i="6"/>
  <c r="C792" i="6"/>
  <c r="D790" i="6"/>
  <c r="C790" i="6"/>
  <c r="D789" i="6"/>
  <c r="C789" i="6"/>
  <c r="F787" i="6"/>
  <c r="E787" i="6"/>
  <c r="E785" i="6" s="1"/>
  <c r="D785" i="6"/>
  <c r="C785" i="6"/>
  <c r="F784" i="6"/>
  <c r="E784" i="6"/>
  <c r="E783" i="6" s="1"/>
  <c r="E782" i="6"/>
  <c r="E781" i="6" s="1"/>
  <c r="D781" i="6"/>
  <c r="C781" i="6"/>
  <c r="F780" i="6"/>
  <c r="E780" i="6"/>
  <c r="E779" i="6"/>
  <c r="D778" i="6"/>
  <c r="C778" i="6"/>
  <c r="E777" i="6"/>
  <c r="E776" i="6" s="1"/>
  <c r="D776" i="6"/>
  <c r="C776" i="6"/>
  <c r="F775" i="6"/>
  <c r="E775" i="6"/>
  <c r="E774" i="6"/>
  <c r="D773" i="6"/>
  <c r="C773" i="6"/>
  <c r="F772" i="6"/>
  <c r="E772" i="6"/>
  <c r="E771" i="6"/>
  <c r="D770" i="6"/>
  <c r="C770" i="6"/>
  <c r="F769" i="6"/>
  <c r="E769" i="6"/>
  <c r="E768" i="6"/>
  <c r="D767" i="6"/>
  <c r="C767" i="6"/>
  <c r="D765" i="6"/>
  <c r="C765" i="6"/>
  <c r="C764" i="6" s="1"/>
  <c r="F763" i="6"/>
  <c r="E763" i="6"/>
  <c r="E765" i="6" s="1"/>
  <c r="E764" i="6" s="1"/>
  <c r="D762" i="6"/>
  <c r="C762" i="6"/>
  <c r="D760" i="6"/>
  <c r="C760" i="6"/>
  <c r="C759" i="6" s="1"/>
  <c r="E758" i="6"/>
  <c r="E757" i="6" s="1"/>
  <c r="D757" i="6"/>
  <c r="C757" i="6"/>
  <c r="E756" i="6"/>
  <c r="E755" i="6" s="1"/>
  <c r="D755" i="6"/>
  <c r="C755" i="6"/>
  <c r="D753" i="6"/>
  <c r="D752" i="6" s="1"/>
  <c r="C752" i="6"/>
  <c r="F751" i="6"/>
  <c r="E751" i="6"/>
  <c r="D750" i="6"/>
  <c r="C750" i="6"/>
  <c r="D748" i="6"/>
  <c r="C748" i="6"/>
  <c r="E746" i="6"/>
  <c r="E744" i="6"/>
  <c r="E743" i="6" s="1"/>
  <c r="D743" i="6"/>
  <c r="C743" i="6"/>
  <c r="E742" i="6"/>
  <c r="E741" i="6" s="1"/>
  <c r="D741" i="6"/>
  <c r="C741" i="6"/>
  <c r="E740" i="6"/>
  <c r="E739" i="6" s="1"/>
  <c r="D739" i="6"/>
  <c r="C739" i="6"/>
  <c r="E738" i="6"/>
  <c r="E737" i="6" s="1"/>
  <c r="D737" i="6"/>
  <c r="C737" i="6"/>
  <c r="D735" i="6"/>
  <c r="C735" i="6"/>
  <c r="D734" i="6"/>
  <c r="C734" i="6"/>
  <c r="E733" i="6"/>
  <c r="E732" i="6" s="1"/>
  <c r="D732" i="6"/>
  <c r="C732" i="6"/>
  <c r="E731" i="6"/>
  <c r="D730" i="6"/>
  <c r="C730" i="6"/>
  <c r="E729" i="6"/>
  <c r="D728" i="6"/>
  <c r="C728" i="6"/>
  <c r="E727" i="6"/>
  <c r="E726" i="6" s="1"/>
  <c r="D726" i="6"/>
  <c r="C726" i="6"/>
  <c r="D723" i="6"/>
  <c r="C723" i="6"/>
  <c r="D722" i="6"/>
  <c r="C722" i="6"/>
  <c r="E721" i="6"/>
  <c r="E720" i="6" s="1"/>
  <c r="D720" i="6"/>
  <c r="C720" i="6"/>
  <c r="E719" i="6"/>
  <c r="E718" i="6" s="1"/>
  <c r="D718" i="6"/>
  <c r="C718" i="6"/>
  <c r="E717" i="6"/>
  <c r="E716" i="6" s="1"/>
  <c r="D716" i="6"/>
  <c r="C716" i="6"/>
  <c r="D714" i="6"/>
  <c r="C714" i="6"/>
  <c r="C713" i="6" s="1"/>
  <c r="E712" i="6"/>
  <c r="D711" i="6"/>
  <c r="C711" i="6"/>
  <c r="E710" i="6"/>
  <c r="E709" i="6" s="1"/>
  <c r="D709" i="6"/>
  <c r="C709" i="6"/>
  <c r="E708" i="6"/>
  <c r="E707" i="6" s="1"/>
  <c r="D707" i="6"/>
  <c r="C707" i="6"/>
  <c r="E706" i="6"/>
  <c r="E705" i="6" s="1"/>
  <c r="D705" i="6"/>
  <c r="C705" i="6"/>
  <c r="E704" i="6"/>
  <c r="E703" i="6" s="1"/>
  <c r="D703" i="6"/>
  <c r="C703" i="6"/>
  <c r="E702" i="6"/>
  <c r="D701" i="6"/>
  <c r="C701" i="6"/>
  <c r="D699" i="6"/>
  <c r="C699" i="6"/>
  <c r="D698" i="6"/>
  <c r="C698" i="6"/>
  <c r="F696" i="6"/>
  <c r="E696" i="6"/>
  <c r="E699" i="6" s="1"/>
  <c r="F695" i="6"/>
  <c r="E695" i="6"/>
  <c r="D694" i="6"/>
  <c r="C694" i="6"/>
  <c r="E693" i="6"/>
  <c r="E692" i="6" s="1"/>
  <c r="D692" i="6"/>
  <c r="C692" i="6"/>
  <c r="E691" i="6"/>
  <c r="D690" i="6"/>
  <c r="C690" i="6"/>
  <c r="E689" i="6"/>
  <c r="E688" i="6" s="1"/>
  <c r="D688" i="6"/>
  <c r="C688" i="6"/>
  <c r="E687" i="6"/>
  <c r="D686" i="6"/>
  <c r="C686" i="6"/>
  <c r="C675" i="6"/>
  <c r="E672" i="6"/>
  <c r="E671" i="6" s="1"/>
  <c r="D671" i="6"/>
  <c r="C671" i="6"/>
  <c r="E670" i="6"/>
  <c r="E669" i="6" s="1"/>
  <c r="D669" i="6"/>
  <c r="C669" i="6"/>
  <c r="E668" i="6"/>
  <c r="E667" i="6" s="1"/>
  <c r="C667" i="6"/>
  <c r="E666" i="6"/>
  <c r="E665" i="6" s="1"/>
  <c r="D665" i="6"/>
  <c r="C665" i="6"/>
  <c r="F663" i="6"/>
  <c r="E663" i="6"/>
  <c r="D663" i="6"/>
  <c r="C663" i="6"/>
  <c r="E662" i="6"/>
  <c r="E661" i="6" s="1"/>
  <c r="D661" i="6"/>
  <c r="C661" i="6"/>
  <c r="E660" i="6"/>
  <c r="E659" i="6" s="1"/>
  <c r="D659" i="6"/>
  <c r="C659" i="6"/>
  <c r="F658" i="6"/>
  <c r="E658" i="6"/>
  <c r="D657" i="6"/>
  <c r="C657" i="6"/>
  <c r="F656" i="6"/>
  <c r="E656" i="6"/>
  <c r="D655" i="6"/>
  <c r="C655" i="6"/>
  <c r="F654" i="6"/>
  <c r="E654" i="6"/>
  <c r="D653" i="6"/>
  <c r="F652" i="6"/>
  <c r="E650" i="6"/>
  <c r="D650" i="6"/>
  <c r="C650" i="6"/>
  <c r="F649" i="6"/>
  <c r="E649" i="6"/>
  <c r="D648" i="6"/>
  <c r="C648" i="6"/>
  <c r="F647" i="6"/>
  <c r="E647" i="6"/>
  <c r="E646" i="6" s="1"/>
  <c r="D646" i="6"/>
  <c r="C646" i="6"/>
  <c r="F645" i="6"/>
  <c r="E645" i="6"/>
  <c r="E644" i="6" s="1"/>
  <c r="D644" i="6"/>
  <c r="C644" i="6"/>
  <c r="F643" i="6"/>
  <c r="E643" i="6"/>
  <c r="E642" i="6" s="1"/>
  <c r="D642" i="6"/>
  <c r="C642" i="6"/>
  <c r="F641" i="6"/>
  <c r="E641" i="6"/>
  <c r="E640" i="6" s="1"/>
  <c r="D640" i="6"/>
  <c r="C640" i="6"/>
  <c r="E639" i="6"/>
  <c r="F638" i="6"/>
  <c r="E638" i="6"/>
  <c r="F636" i="6"/>
  <c r="E636" i="6"/>
  <c r="E635" i="6"/>
  <c r="F634" i="6"/>
  <c r="F633" i="6"/>
  <c r="E633" i="6"/>
  <c r="E632" i="6" s="1"/>
  <c r="F631" i="6"/>
  <c r="E631" i="6"/>
  <c r="E630" i="6" s="1"/>
  <c r="D630" i="6"/>
  <c r="C630" i="6"/>
  <c r="F629" i="6"/>
  <c r="E629" i="6"/>
  <c r="E628" i="6" s="1"/>
  <c r="D628" i="6"/>
  <c r="C628" i="6"/>
  <c r="F627" i="6"/>
  <c r="E627" i="6"/>
  <c r="E626" i="6" s="1"/>
  <c r="D626" i="6"/>
  <c r="C626" i="6"/>
  <c r="F625" i="6"/>
  <c r="E625" i="6"/>
  <c r="E624" i="6" s="1"/>
  <c r="D624" i="6"/>
  <c r="C624" i="6"/>
  <c r="F623" i="6"/>
  <c r="E623" i="6"/>
  <c r="D622" i="6"/>
  <c r="C622" i="6"/>
  <c r="F621" i="6"/>
  <c r="E621" i="6"/>
  <c r="E620" i="6" s="1"/>
  <c r="D620" i="6"/>
  <c r="C620" i="6"/>
  <c r="F619" i="6"/>
  <c r="E619" i="6"/>
  <c r="E618" i="6" s="1"/>
  <c r="D618" i="6"/>
  <c r="C618" i="6"/>
  <c r="F617" i="6"/>
  <c r="E617" i="6"/>
  <c r="E616" i="6" s="1"/>
  <c r="D616" i="6"/>
  <c r="C616" i="6"/>
  <c r="F615" i="6"/>
  <c r="E615" i="6"/>
  <c r="E614" i="6" s="1"/>
  <c r="D614" i="6"/>
  <c r="C614" i="6"/>
  <c r="F613" i="6"/>
  <c r="E613" i="6"/>
  <c r="E612" i="6" s="1"/>
  <c r="D612" i="6"/>
  <c r="C612" i="6"/>
  <c r="F611" i="6"/>
  <c r="E611" i="6"/>
  <c r="E610" i="6" s="1"/>
  <c r="D610" i="6"/>
  <c r="C610" i="6"/>
  <c r="E609" i="6"/>
  <c r="E608" i="6" s="1"/>
  <c r="D608" i="6"/>
  <c r="C608" i="6"/>
  <c r="E607" i="6"/>
  <c r="E606" i="6" s="1"/>
  <c r="D606" i="6"/>
  <c r="C606" i="6"/>
  <c r="E605" i="6"/>
  <c r="E604" i="6" s="1"/>
  <c r="E603" i="6"/>
  <c r="E602" i="6" s="1"/>
  <c r="F602" i="6"/>
  <c r="D602" i="6"/>
  <c r="C602" i="6"/>
  <c r="E601" i="6"/>
  <c r="E600" i="6" s="1"/>
  <c r="F600" i="6"/>
  <c r="D600" i="6"/>
  <c r="C600" i="6"/>
  <c r="E599" i="6"/>
  <c r="E598" i="6" s="1"/>
  <c r="D598" i="6"/>
  <c r="C598" i="6"/>
  <c r="E597" i="6"/>
  <c r="E596" i="6" s="1"/>
  <c r="D596" i="6"/>
  <c r="C596" i="6"/>
  <c r="E595" i="6"/>
  <c r="E594" i="6" s="1"/>
  <c r="D594" i="6"/>
  <c r="C594" i="6"/>
  <c r="F593" i="6"/>
  <c r="E592" i="6"/>
  <c r="D591" i="6"/>
  <c r="C591" i="6"/>
  <c r="F590" i="6"/>
  <c r="F589" i="6"/>
  <c r="E589" i="6"/>
  <c r="E588" i="6" s="1"/>
  <c r="D588" i="6"/>
  <c r="C588" i="6"/>
  <c r="E587" i="6"/>
  <c r="E586" i="6" s="1"/>
  <c r="D586" i="6"/>
  <c r="C586" i="6"/>
  <c r="E585" i="6"/>
  <c r="E584" i="6" s="1"/>
  <c r="D584" i="6"/>
  <c r="C584" i="6"/>
  <c r="F583" i="6"/>
  <c r="E583" i="6"/>
  <c r="E582" i="6" s="1"/>
  <c r="D582" i="6"/>
  <c r="C582" i="6"/>
  <c r="F581" i="6"/>
  <c r="E581" i="6"/>
  <c r="E580" i="6" s="1"/>
  <c r="D580" i="6"/>
  <c r="C580" i="6"/>
  <c r="F579" i="6"/>
  <c r="E579" i="6"/>
  <c r="E578" i="6" s="1"/>
  <c r="D578" i="6"/>
  <c r="C578" i="6"/>
  <c r="E577" i="6"/>
  <c r="E576" i="6" s="1"/>
  <c r="D576" i="6"/>
  <c r="C576" i="6"/>
  <c r="F575" i="6"/>
  <c r="E575" i="6"/>
  <c r="F574" i="6"/>
  <c r="E574" i="6"/>
  <c r="D572" i="6"/>
  <c r="C572" i="6"/>
  <c r="F570" i="6"/>
  <c r="F569" i="6" s="1"/>
  <c r="E570" i="6"/>
  <c r="E569" i="6" s="1"/>
  <c r="F568" i="6"/>
  <c r="E568" i="6"/>
  <c r="F567" i="6"/>
  <c r="E567" i="6"/>
  <c r="D565" i="6"/>
  <c r="C565" i="6"/>
  <c r="F563" i="6"/>
  <c r="E563" i="6"/>
  <c r="E562" i="6" s="1"/>
  <c r="D562" i="6"/>
  <c r="C562" i="6"/>
  <c r="F561" i="6"/>
  <c r="E561" i="6"/>
  <c r="D560" i="6"/>
  <c r="C560" i="6"/>
  <c r="F559" i="6"/>
  <c r="E559" i="6"/>
  <c r="E558" i="6" s="1"/>
  <c r="D558" i="6"/>
  <c r="C558" i="6"/>
  <c r="F557" i="6"/>
  <c r="F556" i="6" s="1"/>
  <c r="E557" i="6"/>
  <c r="E556" i="6" s="1"/>
  <c r="F555" i="6"/>
  <c r="E555" i="6"/>
  <c r="F554" i="6"/>
  <c r="E554" i="6"/>
  <c r="D552" i="6"/>
  <c r="C552" i="6"/>
  <c r="F550" i="6"/>
  <c r="E550" i="6"/>
  <c r="E549" i="6" s="1"/>
  <c r="F548" i="6"/>
  <c r="E548" i="6"/>
  <c r="F547" i="6"/>
  <c r="E547" i="6"/>
  <c r="D545" i="6"/>
  <c r="C545" i="6"/>
  <c r="C544" i="6" s="1"/>
  <c r="F543" i="6"/>
  <c r="E543" i="6"/>
  <c r="F542" i="6"/>
  <c r="E542" i="6"/>
  <c r="D540" i="6"/>
  <c r="C540" i="6"/>
  <c r="C539" i="6" s="1"/>
  <c r="F538" i="6"/>
  <c r="E538" i="6"/>
  <c r="F537" i="6"/>
  <c r="E537" i="6"/>
  <c r="D535" i="6"/>
  <c r="C535" i="6"/>
  <c r="C534" i="6" s="1"/>
  <c r="F533" i="6"/>
  <c r="E533" i="6"/>
  <c r="E532" i="6" s="1"/>
  <c r="F531" i="6"/>
  <c r="E531" i="6"/>
  <c r="D530" i="6"/>
  <c r="C530" i="6"/>
  <c r="F529" i="6"/>
  <c r="E529" i="6"/>
  <c r="F528" i="6"/>
  <c r="E528" i="6"/>
  <c r="F527" i="6"/>
  <c r="E527" i="6"/>
  <c r="D525" i="6"/>
  <c r="C525" i="6"/>
  <c r="C524" i="6" s="1"/>
  <c r="F523" i="6"/>
  <c r="E523" i="6"/>
  <c r="E522" i="6"/>
  <c r="D521" i="6"/>
  <c r="C521" i="6"/>
  <c r="F520" i="6"/>
  <c r="E520" i="6"/>
  <c r="E519" i="6"/>
  <c r="D518" i="6"/>
  <c r="C518" i="6"/>
  <c r="D516" i="6"/>
  <c r="C516" i="6"/>
  <c r="D515" i="6"/>
  <c r="C515" i="6"/>
  <c r="F513" i="6"/>
  <c r="E513" i="6"/>
  <c r="E512" i="6"/>
  <c r="D511" i="6"/>
  <c r="C511" i="6"/>
  <c r="F510" i="6"/>
  <c r="E510" i="6"/>
  <c r="E509" i="6"/>
  <c r="D508" i="6"/>
  <c r="C508" i="6"/>
  <c r="F507" i="6"/>
  <c r="E507" i="6"/>
  <c r="E506" i="6"/>
  <c r="D505" i="6"/>
  <c r="C505" i="6"/>
  <c r="D503" i="6"/>
  <c r="C503" i="6"/>
  <c r="D502" i="6"/>
  <c r="C502" i="6"/>
  <c r="E500" i="6"/>
  <c r="E499" i="6"/>
  <c r="E498" i="6"/>
  <c r="D496" i="6"/>
  <c r="C496" i="6"/>
  <c r="C495" i="6" s="1"/>
  <c r="E494" i="6"/>
  <c r="E493" i="6"/>
  <c r="E492" i="6"/>
  <c r="D490" i="6"/>
  <c r="C490" i="6"/>
  <c r="F488" i="6"/>
  <c r="E488" i="6"/>
  <c r="F487" i="6"/>
  <c r="E487" i="6"/>
  <c r="F486" i="6"/>
  <c r="E486" i="6"/>
  <c r="D484" i="6"/>
  <c r="C484" i="6"/>
  <c r="C483" i="6" s="1"/>
  <c r="F482" i="6"/>
  <c r="E482" i="6"/>
  <c r="F481" i="6"/>
  <c r="E481" i="6"/>
  <c r="D479" i="6"/>
  <c r="C479" i="6"/>
  <c r="F477" i="6"/>
  <c r="E477" i="6"/>
  <c r="F476" i="6"/>
  <c r="E476" i="6"/>
  <c r="F475" i="6"/>
  <c r="E475" i="6"/>
  <c r="D473" i="6"/>
  <c r="C473" i="6"/>
  <c r="C472" i="6" s="1"/>
  <c r="F471" i="6"/>
  <c r="E471" i="6"/>
  <c r="F470" i="6"/>
  <c r="E470" i="6"/>
  <c r="F469" i="6"/>
  <c r="E469" i="6"/>
  <c r="D467" i="6"/>
  <c r="C467" i="6"/>
  <c r="F465" i="6"/>
  <c r="E465" i="6"/>
  <c r="F464" i="6"/>
  <c r="E464" i="6"/>
  <c r="F463" i="6"/>
  <c r="E463" i="6"/>
  <c r="D461" i="6"/>
  <c r="C461" i="6"/>
  <c r="C460" i="6" s="1"/>
  <c r="D458" i="6"/>
  <c r="C458" i="6"/>
  <c r="D457" i="6"/>
  <c r="C457" i="6"/>
  <c r="E456" i="6"/>
  <c r="F453" i="6"/>
  <c r="E453" i="6"/>
  <c r="F451" i="6"/>
  <c r="E451" i="6"/>
  <c r="D451" i="6"/>
  <c r="C451" i="6"/>
  <c r="F449" i="6"/>
  <c r="E449" i="6"/>
  <c r="E448" i="6"/>
  <c r="E447" i="6" s="1"/>
  <c r="E446" i="6"/>
  <c r="E445" i="6" s="1"/>
  <c r="E444" i="6"/>
  <c r="E443" i="6" s="1"/>
  <c r="E442" i="6"/>
  <c r="E441" i="6" s="1"/>
  <c r="D441" i="6"/>
  <c r="C441" i="6"/>
  <c r="E440" i="6"/>
  <c r="E439" i="6" s="1"/>
  <c r="D439" i="6"/>
  <c r="C439" i="6"/>
  <c r="E438" i="6"/>
  <c r="E437" i="6" s="1"/>
  <c r="D437" i="6"/>
  <c r="C437" i="6"/>
  <c r="E436" i="6"/>
  <c r="E435" i="6" s="1"/>
  <c r="E434" i="6"/>
  <c r="E433" i="6" s="1"/>
  <c r="F431" i="6"/>
  <c r="E432" i="6"/>
  <c r="E431" i="6" s="1"/>
  <c r="E430" i="6"/>
  <c r="E429" i="6" s="1"/>
  <c r="E428" i="6"/>
  <c r="E427" i="6" s="1"/>
  <c r="D427" i="6"/>
  <c r="C427" i="6"/>
  <c r="E425" i="6"/>
  <c r="E424" i="6" s="1"/>
  <c r="D424" i="6"/>
  <c r="C424" i="6"/>
  <c r="E423" i="6"/>
  <c r="E422" i="6" s="1"/>
  <c r="E421" i="6"/>
  <c r="E420" i="6" s="1"/>
  <c r="E419" i="6"/>
  <c r="E418" i="6" s="1"/>
  <c r="D418" i="6"/>
  <c r="C418" i="6"/>
  <c r="E417" i="6"/>
  <c r="E416" i="6" s="1"/>
  <c r="E415" i="6"/>
  <c r="E414" i="6" s="1"/>
  <c r="D414" i="6"/>
  <c r="C414" i="6"/>
  <c r="F413" i="6"/>
  <c r="E413" i="6"/>
  <c r="E412" i="6" s="1"/>
  <c r="E411" i="6"/>
  <c r="E409" i="6"/>
  <c r="E408" i="6" s="1"/>
  <c r="D408" i="6"/>
  <c r="C408" i="6"/>
  <c r="E407" i="6"/>
  <c r="E406" i="6" s="1"/>
  <c r="D406" i="6"/>
  <c r="C406" i="6"/>
  <c r="E405" i="6"/>
  <c r="E404" i="6" s="1"/>
  <c r="D404" i="6"/>
  <c r="C404" i="6"/>
  <c r="E403" i="6"/>
  <c r="D402" i="6"/>
  <c r="C402" i="6"/>
  <c r="E401" i="6"/>
  <c r="E400" i="6" s="1"/>
  <c r="E399" i="6"/>
  <c r="E398" i="6" s="1"/>
  <c r="D398" i="6"/>
  <c r="C398" i="6"/>
  <c r="E397" i="6"/>
  <c r="E396" i="6" s="1"/>
  <c r="E395" i="6"/>
  <c r="E393" i="6"/>
  <c r="E392" i="6" s="1"/>
  <c r="F390" i="6"/>
  <c r="E391" i="6"/>
  <c r="D390" i="6"/>
  <c r="C390" i="6"/>
  <c r="E389" i="6"/>
  <c r="E388" i="6" s="1"/>
  <c r="D388" i="6"/>
  <c r="C388" i="6"/>
  <c r="E387" i="6"/>
  <c r="E386" i="6" s="1"/>
  <c r="E385" i="6"/>
  <c r="E382" i="6"/>
  <c r="E381" i="6" s="1"/>
  <c r="D381" i="6"/>
  <c r="C381" i="6"/>
  <c r="E380" i="6"/>
  <c r="D379" i="6"/>
  <c r="C379" i="6"/>
  <c r="E378" i="6"/>
  <c r="E377" i="6" s="1"/>
  <c r="D377" i="6"/>
  <c r="C377" i="6"/>
  <c r="E376" i="6"/>
  <c r="E375" i="6" s="1"/>
  <c r="E374" i="6"/>
  <c r="E373" i="6" s="1"/>
  <c r="E372" i="6"/>
  <c r="E371" i="6" s="1"/>
  <c r="E370" i="6"/>
  <c r="E369" i="6" s="1"/>
  <c r="E368" i="6"/>
  <c r="E367" i="6" s="1"/>
  <c r="E366" i="6"/>
  <c r="E365" i="6" s="1"/>
  <c r="D365" i="6"/>
  <c r="C365" i="6"/>
  <c r="E362" i="6"/>
  <c r="E361" i="6" s="1"/>
  <c r="D361" i="6"/>
  <c r="C361" i="6"/>
  <c r="E360" i="6"/>
  <c r="E359" i="6" s="1"/>
  <c r="E358" i="6"/>
  <c r="E357" i="6" s="1"/>
  <c r="E356" i="6"/>
  <c r="E355" i="6" s="1"/>
  <c r="D355" i="6"/>
  <c r="C355" i="6"/>
  <c r="E353" i="6"/>
  <c r="E352" i="6" s="1"/>
  <c r="D352" i="6"/>
  <c r="C352" i="6"/>
  <c r="E351" i="6"/>
  <c r="E350" i="6" s="1"/>
  <c r="D350" i="6"/>
  <c r="C350" i="6"/>
  <c r="E349" i="6"/>
  <c r="E348" i="6" s="1"/>
  <c r="D348" i="6"/>
  <c r="C348" i="6"/>
  <c r="F347" i="6"/>
  <c r="E347" i="6"/>
  <c r="E346" i="6" s="1"/>
  <c r="F345" i="6"/>
  <c r="E345" i="6"/>
  <c r="E344" i="6" s="1"/>
  <c r="E343" i="6"/>
  <c r="E342" i="6" s="1"/>
  <c r="E341" i="6"/>
  <c r="E340" i="6" s="1"/>
  <c r="F339" i="6"/>
  <c r="E339" i="6"/>
  <c r="E338" i="6"/>
  <c r="E337" i="6" s="1"/>
  <c r="D337" i="6"/>
  <c r="C337" i="6"/>
  <c r="E335" i="6"/>
  <c r="E334" i="6" s="1"/>
  <c r="D334" i="6"/>
  <c r="C334" i="6"/>
  <c r="E333" i="6"/>
  <c r="D332" i="6"/>
  <c r="C332" i="6"/>
  <c r="E331" i="6"/>
  <c r="E330" i="6" s="1"/>
  <c r="E325" i="6"/>
  <c r="E324" i="6" s="1"/>
  <c r="D324" i="6"/>
  <c r="C324" i="6"/>
  <c r="E323" i="6"/>
  <c r="E322" i="6" s="1"/>
  <c r="C319" i="6"/>
  <c r="E319" i="6" s="1"/>
  <c r="E318" i="6" s="1"/>
  <c r="E317" i="6"/>
  <c r="E316" i="6" s="1"/>
  <c r="D316" i="6"/>
  <c r="C316" i="6"/>
  <c r="E315" i="6"/>
  <c r="E314" i="6" s="1"/>
  <c r="D314" i="6"/>
  <c r="C314" i="6"/>
  <c r="E313" i="6"/>
  <c r="E312" i="6" s="1"/>
  <c r="D312" i="6"/>
  <c r="C312" i="6"/>
  <c r="E311" i="6"/>
  <c r="E310" i="6" s="1"/>
  <c r="E309" i="6"/>
  <c r="E308" i="6" s="1"/>
  <c r="E307" i="6"/>
  <c r="E306" i="6" s="1"/>
  <c r="D306" i="6"/>
  <c r="C306" i="6"/>
  <c r="E305" i="6"/>
  <c r="E304" i="6" s="1"/>
  <c r="D304" i="6"/>
  <c r="C304" i="6"/>
  <c r="E303" i="6"/>
  <c r="E302" i="6" s="1"/>
  <c r="E300" i="6"/>
  <c r="E299" i="6"/>
  <c r="E298" i="6" s="1"/>
  <c r="E297" i="6"/>
  <c r="E295" i="6" s="1"/>
  <c r="D295" i="6"/>
  <c r="C295" i="6"/>
  <c r="E294" i="6"/>
  <c r="E292" i="6" s="1"/>
  <c r="D292" i="6"/>
  <c r="C292" i="6"/>
  <c r="E291" i="6"/>
  <c r="E290" i="6"/>
  <c r="D288" i="6"/>
  <c r="C288" i="6"/>
  <c r="E287" i="6"/>
  <c r="E286" i="6"/>
  <c r="D284" i="6"/>
  <c r="C284" i="6"/>
  <c r="E280" i="6"/>
  <c r="E279" i="6" s="1"/>
  <c r="E278" i="6"/>
  <c r="E277" i="6" s="1"/>
  <c r="E276" i="6"/>
  <c r="E275" i="6" s="1"/>
  <c r="D275" i="6"/>
  <c r="C275" i="6"/>
  <c r="E274" i="6"/>
  <c r="E273" i="6" s="1"/>
  <c r="E272" i="6"/>
  <c r="E271" i="6"/>
  <c r="D269" i="6"/>
  <c r="C269" i="6"/>
  <c r="C268" i="6" s="1"/>
  <c r="E267" i="6"/>
  <c r="E266" i="6" s="1"/>
  <c r="E265" i="6"/>
  <c r="E264" i="6" s="1"/>
  <c r="D264" i="6"/>
  <c r="C264" i="6"/>
  <c r="E263" i="6"/>
  <c r="E262" i="6" s="1"/>
  <c r="D262" i="6"/>
  <c r="C262" i="6"/>
  <c r="E261" i="6"/>
  <c r="E260" i="6" s="1"/>
  <c r="E259" i="6"/>
  <c r="E258" i="6" s="1"/>
  <c r="D258" i="6"/>
  <c r="C258" i="6"/>
  <c r="E257" i="6"/>
  <c r="E256" i="6" s="1"/>
  <c r="E255" i="6"/>
  <c r="E254" i="6" s="1"/>
  <c r="E253" i="6"/>
  <c r="E252" i="6" s="1"/>
  <c r="E251" i="6"/>
  <c r="E250" i="6" s="1"/>
  <c r="D250" i="6"/>
  <c r="C250" i="6"/>
  <c r="E249" i="6"/>
  <c r="E248" i="6" s="1"/>
  <c r="D248" i="6"/>
  <c r="C248" i="6"/>
  <c r="D240" i="6"/>
  <c r="C240" i="6"/>
  <c r="C239" i="6" s="1"/>
  <c r="E238" i="6"/>
  <c r="E237" i="6" s="1"/>
  <c r="D237" i="6"/>
  <c r="C237" i="6"/>
  <c r="D235" i="6"/>
  <c r="C235" i="6"/>
  <c r="C234" i="6" s="1"/>
  <c r="E233" i="6"/>
  <c r="E232" i="6" s="1"/>
  <c r="E231" i="6"/>
  <c r="D230" i="6"/>
  <c r="C230" i="6"/>
  <c r="D228" i="6"/>
  <c r="C228" i="6"/>
  <c r="C244" i="6" s="1"/>
  <c r="D227" i="6"/>
  <c r="C227" i="6"/>
  <c r="F225" i="6"/>
  <c r="E225" i="6"/>
  <c r="D224" i="6"/>
  <c r="E223" i="6"/>
  <c r="F222" i="6"/>
  <c r="D222" i="6"/>
  <c r="F221" i="6"/>
  <c r="E221" i="6"/>
  <c r="E227" i="6" s="1"/>
  <c r="D220" i="6"/>
  <c r="C220" i="6"/>
  <c r="E213" i="6"/>
  <c r="E212" i="6" s="1"/>
  <c r="D212" i="6"/>
  <c r="C212" i="6"/>
  <c r="E211" i="6"/>
  <c r="E210" i="6" s="1"/>
  <c r="D210" i="6"/>
  <c r="C210" i="6"/>
  <c r="D208" i="6"/>
  <c r="F205" i="6"/>
  <c r="F208" i="6" s="1"/>
  <c r="F206" i="6" s="1"/>
  <c r="D203" i="6"/>
  <c r="E197" i="6"/>
  <c r="E196" i="6" s="1"/>
  <c r="E195" i="6"/>
  <c r="E194" i="6"/>
  <c r="E193" i="6"/>
  <c r="D192" i="6"/>
  <c r="C192" i="6"/>
  <c r="C199" i="6" s="1"/>
  <c r="F189" i="6"/>
  <c r="E189" i="6"/>
  <c r="D188" i="6"/>
  <c r="C188" i="6"/>
  <c r="D187" i="6"/>
  <c r="C187" i="6"/>
  <c r="E184" i="6"/>
  <c r="E183" i="6" s="1"/>
  <c r="D183" i="6"/>
  <c r="C183" i="6"/>
  <c r="E182" i="6"/>
  <c r="E181" i="6" s="1"/>
  <c r="D181" i="6"/>
  <c r="C181" i="6"/>
  <c r="D179" i="6"/>
  <c r="C179" i="6"/>
  <c r="E177" i="6"/>
  <c r="E169" i="6"/>
  <c r="D168" i="6"/>
  <c r="C168" i="6"/>
  <c r="D167" i="6"/>
  <c r="C167" i="6"/>
  <c r="C166" i="6" s="1"/>
  <c r="E165" i="6"/>
  <c r="E164" i="6" s="1"/>
  <c r="F164" i="6"/>
  <c r="D164" i="6"/>
  <c r="C164" i="6"/>
  <c r="E163" i="6"/>
  <c r="E162" i="6" s="1"/>
  <c r="D162" i="6"/>
  <c r="C162" i="6"/>
  <c r="E161" i="6"/>
  <c r="E160" i="6" s="1"/>
  <c r="E159" i="6"/>
  <c r="E158" i="6" s="1"/>
  <c r="E157" i="6"/>
  <c r="E156" i="6" s="1"/>
  <c r="E152" i="6"/>
  <c r="E151" i="6" s="1"/>
  <c r="E150" i="6"/>
  <c r="E149" i="6" s="1"/>
  <c r="D146" i="6"/>
  <c r="C146" i="6"/>
  <c r="F144" i="6"/>
  <c r="F147" i="6" s="1"/>
  <c r="E144" i="6"/>
  <c r="E143" i="6"/>
  <c r="E141" i="6"/>
  <c r="E140" i="6" s="1"/>
  <c r="D140" i="6"/>
  <c r="C140" i="6"/>
  <c r="E139" i="6"/>
  <c r="E138" i="6" s="1"/>
  <c r="D138" i="6"/>
  <c r="C138" i="6"/>
  <c r="E137" i="6"/>
  <c r="E136" i="6" s="1"/>
  <c r="E135" i="6"/>
  <c r="E134" i="6" s="1"/>
  <c r="D134" i="6"/>
  <c r="C134" i="6"/>
  <c r="E133" i="6"/>
  <c r="E132" i="6" s="1"/>
  <c r="D132" i="6"/>
  <c r="C132" i="6"/>
  <c r="E131" i="6"/>
  <c r="E130" i="6" s="1"/>
  <c r="E129" i="6"/>
  <c r="E128" i="6" s="1"/>
  <c r="D128" i="6"/>
  <c r="C128" i="6"/>
  <c r="E127" i="6"/>
  <c r="E126" i="6" s="1"/>
  <c r="E125" i="6"/>
  <c r="E124" i="6" s="1"/>
  <c r="D124" i="6"/>
  <c r="E123" i="6"/>
  <c r="E122" i="6" s="1"/>
  <c r="D120" i="6"/>
  <c r="C120" i="6"/>
  <c r="E118" i="6"/>
  <c r="D117" i="6"/>
  <c r="C117" i="6"/>
  <c r="E116" i="6"/>
  <c r="E115" i="6" s="1"/>
  <c r="D115" i="6"/>
  <c r="C115" i="6"/>
  <c r="E114" i="6"/>
  <c r="D113" i="6"/>
  <c r="C113" i="6"/>
  <c r="D111" i="6"/>
  <c r="C111" i="6"/>
  <c r="C110" i="6" s="1"/>
  <c r="E109" i="6"/>
  <c r="E108" i="6" s="1"/>
  <c r="D108" i="6"/>
  <c r="C108" i="6"/>
  <c r="E107" i="6"/>
  <c r="D104" i="6"/>
  <c r="C104" i="6"/>
  <c r="C172" i="6" s="1"/>
  <c r="F102" i="6"/>
  <c r="E102" i="6"/>
  <c r="E104" i="6" s="1"/>
  <c r="D101" i="6"/>
  <c r="C101" i="6"/>
  <c r="C103" i="6" s="1"/>
  <c r="D99" i="6"/>
  <c r="C99" i="6"/>
  <c r="C98" i="6" s="1"/>
  <c r="E97" i="6"/>
  <c r="E96" i="6" s="1"/>
  <c r="D96" i="6"/>
  <c r="C96" i="6"/>
  <c r="E95" i="6"/>
  <c r="D94" i="6"/>
  <c r="C94" i="6"/>
  <c r="D91" i="6"/>
  <c r="C91" i="6"/>
  <c r="E88" i="6"/>
  <c r="E91" i="6" s="1"/>
  <c r="E90" i="6" s="1"/>
  <c r="D87" i="6"/>
  <c r="C87" i="6"/>
  <c r="C90" i="6" s="1"/>
  <c r="D77" i="6"/>
  <c r="C77" i="6"/>
  <c r="D75" i="6"/>
  <c r="C75" i="6"/>
  <c r="E73" i="6"/>
  <c r="D72" i="6"/>
  <c r="C72" i="6"/>
  <c r="E71" i="6"/>
  <c r="E70" i="6" s="1"/>
  <c r="D70" i="6"/>
  <c r="C70" i="6"/>
  <c r="E69" i="6"/>
  <c r="E68" i="6" s="1"/>
  <c r="D68" i="6"/>
  <c r="C68" i="6"/>
  <c r="E67" i="6"/>
  <c r="E66" i="6"/>
  <c r="D65" i="6"/>
  <c r="C65" i="6"/>
  <c r="E64" i="6"/>
  <c r="E63" i="6"/>
  <c r="D62" i="6"/>
  <c r="C62" i="6"/>
  <c r="E60" i="6"/>
  <c r="D60" i="6"/>
  <c r="F60" i="6" s="1"/>
  <c r="F78" i="6" s="1"/>
  <c r="C60" i="6"/>
  <c r="E59" i="6"/>
  <c r="E57" i="6"/>
  <c r="E56" i="6" s="1"/>
  <c r="E55" i="6"/>
  <c r="D54" i="6"/>
  <c r="C54" i="6"/>
  <c r="E52" i="6"/>
  <c r="E51" i="6" s="1"/>
  <c r="D51" i="6"/>
  <c r="C51" i="6"/>
  <c r="E50" i="6"/>
  <c r="E49" i="6"/>
  <c r="E47" i="6"/>
  <c r="E46" i="6"/>
  <c r="E44" i="6"/>
  <c r="E43" i="6" s="1"/>
  <c r="E41" i="6"/>
  <c r="E40" i="6"/>
  <c r="D39" i="6"/>
  <c r="C39" i="6"/>
  <c r="D36" i="6"/>
  <c r="C36" i="6"/>
  <c r="D35" i="6"/>
  <c r="C35" i="6"/>
  <c r="D33" i="6"/>
  <c r="C33" i="6"/>
  <c r="E31" i="6"/>
  <c r="E30" i="6" s="1"/>
  <c r="E29" i="6"/>
  <c r="E28" i="6" s="1"/>
  <c r="E26" i="6"/>
  <c r="E25" i="6"/>
  <c r="D24" i="6"/>
  <c r="C24" i="6"/>
  <c r="F23" i="6"/>
  <c r="E23" i="6"/>
  <c r="F22" i="6"/>
  <c r="E22" i="6"/>
  <c r="E19" i="6"/>
  <c r="E18" i="6"/>
  <c r="D17" i="6"/>
  <c r="C17" i="6"/>
  <c r="E16" i="6"/>
  <c r="E15" i="6"/>
  <c r="D14" i="6"/>
  <c r="C14" i="6"/>
  <c r="E13" i="6"/>
  <c r="E12" i="6" s="1"/>
  <c r="D12" i="6"/>
  <c r="E10" i="6"/>
  <c r="E9" i="6"/>
  <c r="D8" i="6"/>
  <c r="C8" i="6"/>
  <c r="E941" i="6" l="1"/>
  <c r="E940" i="6" s="1"/>
  <c r="D171" i="6"/>
  <c r="E58" i="6"/>
  <c r="F224" i="6"/>
  <c r="F228" i="6"/>
  <c r="F244" i="6" s="1"/>
  <c r="D551" i="6"/>
  <c r="D564" i="6"/>
  <c r="D764" i="6"/>
  <c r="D813" i="6"/>
  <c r="D32" i="6"/>
  <c r="D98" i="6"/>
  <c r="D239" i="6"/>
  <c r="D268" i="6"/>
  <c r="D460" i="6"/>
  <c r="D466" i="6"/>
  <c r="D472" i="6"/>
  <c r="D478" i="6"/>
  <c r="D892" i="6"/>
  <c r="D908" i="6"/>
  <c r="D1012" i="6"/>
  <c r="D145" i="6"/>
  <c r="D539" i="6"/>
  <c r="D713" i="6"/>
  <c r="D759" i="6"/>
  <c r="D829" i="6"/>
  <c r="D844" i="6"/>
  <c r="D874" i="6"/>
  <c r="D883" i="6"/>
  <c r="D544" i="6"/>
  <c r="D571" i="6"/>
  <c r="D90" i="6"/>
  <c r="F318" i="6"/>
  <c r="D483" i="6"/>
  <c r="D495" i="6"/>
  <c r="D912" i="6"/>
  <c r="D922" i="6"/>
  <c r="D940" i="6"/>
  <c r="D947" i="6"/>
  <c r="D959" i="6"/>
  <c r="E909" i="6"/>
  <c r="E908" i="6" s="1"/>
  <c r="F266" i="6"/>
  <c r="F295" i="6"/>
  <c r="F377" i="6"/>
  <c r="F381" i="6"/>
  <c r="F644" i="6"/>
  <c r="F728" i="6"/>
  <c r="F753" i="6"/>
  <c r="F752" i="6" s="1"/>
  <c r="F776" i="6"/>
  <c r="F804" i="6"/>
  <c r="F156" i="6"/>
  <c r="F179" i="6"/>
  <c r="F394" i="6"/>
  <c r="F402" i="6"/>
  <c r="F435" i="6"/>
  <c r="F530" i="6"/>
  <c r="F827" i="6"/>
  <c r="F836" i="6"/>
  <c r="F859" i="6"/>
  <c r="F861" i="6"/>
  <c r="F863" i="6"/>
  <c r="F913" i="6"/>
  <c r="F932" i="6"/>
  <c r="F974" i="6"/>
  <c r="F978" i="6"/>
  <c r="F122" i="6"/>
  <c r="F230" i="6"/>
  <c r="F279" i="6"/>
  <c r="F332" i="6"/>
  <c r="F443" i="6"/>
  <c r="F562" i="6"/>
  <c r="F594" i="6"/>
  <c r="F646" i="6"/>
  <c r="F648" i="6"/>
  <c r="F688" i="6"/>
  <c r="F692" i="6"/>
  <c r="F732" i="6"/>
  <c r="F794" i="6"/>
  <c r="F800" i="6"/>
  <c r="F814" i="6"/>
  <c r="F28" i="6"/>
  <c r="F43" i="6"/>
  <c r="F51" i="6"/>
  <c r="F54" i="6"/>
  <c r="F68" i="6"/>
  <c r="F70" i="6"/>
  <c r="F72" i="6"/>
  <c r="F91" i="6"/>
  <c r="F104" i="6"/>
  <c r="F103" i="6" s="1"/>
  <c r="F106" i="6"/>
  <c r="F108" i="6"/>
  <c r="D244" i="6"/>
  <c r="F212" i="6"/>
  <c r="F232" i="6"/>
  <c r="F248" i="6"/>
  <c r="F250" i="6"/>
  <c r="F254" i="6"/>
  <c r="F264" i="6"/>
  <c r="F277" i="6"/>
  <c r="F310" i="6"/>
  <c r="F312" i="6"/>
  <c r="F316" i="6"/>
  <c r="F348" i="6"/>
  <c r="F350" i="6"/>
  <c r="F361" i="6"/>
  <c r="F406" i="6"/>
  <c r="F408" i="6"/>
  <c r="F441" i="6"/>
  <c r="C501" i="6"/>
  <c r="F576" i="6"/>
  <c r="F584" i="6"/>
  <c r="F586" i="6"/>
  <c r="F618" i="6"/>
  <c r="F620" i="6"/>
  <c r="F622" i="6"/>
  <c r="F626" i="6"/>
  <c r="F630" i="6"/>
  <c r="F701" i="6"/>
  <c r="F703" i="6"/>
  <c r="F705" i="6"/>
  <c r="F711" i="6"/>
  <c r="F745" i="6"/>
  <c r="F755" i="6"/>
  <c r="F781" i="6"/>
  <c r="F806" i="6"/>
  <c r="F818" i="6"/>
  <c r="F820" i="6"/>
  <c r="F822" i="6"/>
  <c r="F884" i="6"/>
  <c r="F883" i="6" s="1"/>
  <c r="F30" i="6"/>
  <c r="F56" i="6"/>
  <c r="F96" i="6"/>
  <c r="F117" i="6"/>
  <c r="F240" i="6"/>
  <c r="F337" i="6"/>
  <c r="F371" i="6"/>
  <c r="F379" i="6"/>
  <c r="F410" i="6"/>
  <c r="F418" i="6"/>
  <c r="F447" i="6"/>
  <c r="F560" i="6"/>
  <c r="F598" i="6"/>
  <c r="F686" i="6"/>
  <c r="F690" i="6"/>
  <c r="F716" i="6"/>
  <c r="F720" i="6"/>
  <c r="F730" i="6"/>
  <c r="F737" i="6"/>
  <c r="F796" i="6"/>
  <c r="F134" i="6"/>
  <c r="F142" i="6"/>
  <c r="F168" i="6"/>
  <c r="F181" i="6"/>
  <c r="F196" i="6"/>
  <c r="F398" i="6"/>
  <c r="D681" i="6"/>
  <c r="F661" i="6"/>
  <c r="F657" i="6" s="1"/>
  <c r="C824" i="6"/>
  <c r="F840" i="6"/>
  <c r="F842" i="6"/>
  <c r="F967" i="6"/>
  <c r="E62" i="6"/>
  <c r="D318" i="6"/>
  <c r="E572" i="6"/>
  <c r="E571" i="6" s="1"/>
  <c r="F511" i="6"/>
  <c r="F552" i="6"/>
  <c r="F551" i="6" s="1"/>
  <c r="E923" i="6"/>
  <c r="E922" i="6" s="1"/>
  <c r="E484" i="6"/>
  <c r="E483" i="6" s="1"/>
  <c r="F45" i="6"/>
  <c r="E269" i="6"/>
  <c r="E268" i="6" s="1"/>
  <c r="F516" i="6"/>
  <c r="F35" i="6"/>
  <c r="F24" i="6"/>
  <c r="F288" i="6"/>
  <c r="E545" i="6"/>
  <c r="E544" i="6" s="1"/>
  <c r="E773" i="6"/>
  <c r="C32" i="6"/>
  <c r="E284" i="6"/>
  <c r="F505" i="6"/>
  <c r="C514" i="6"/>
  <c r="F8" i="6"/>
  <c r="E65" i="6"/>
  <c r="E99" i="6"/>
  <c r="E98" i="6" s="1"/>
  <c r="F284" i="6"/>
  <c r="E461" i="6"/>
  <c r="E460" i="6" s="1"/>
  <c r="E505" i="6"/>
  <c r="F572" i="6"/>
  <c r="E655" i="6"/>
  <c r="C788" i="6"/>
  <c r="E932" i="6"/>
  <c r="E931" i="6" s="1"/>
  <c r="F188" i="6"/>
  <c r="F778" i="6"/>
  <c r="E288" i="6"/>
  <c r="F344" i="6"/>
  <c r="F422" i="6"/>
  <c r="E525" i="6"/>
  <c r="E524" i="6" s="1"/>
  <c r="F610" i="6"/>
  <c r="F640" i="6"/>
  <c r="F760" i="6"/>
  <c r="F792" i="6"/>
  <c r="F811" i="6"/>
  <c r="E970" i="6"/>
  <c r="E969" i="6" s="1"/>
  <c r="E87" i="6"/>
  <c r="F62" i="6"/>
  <c r="F87" i="6"/>
  <c r="F183" i="6"/>
  <c r="F262" i="6"/>
  <c r="F269" i="6"/>
  <c r="F496" i="6"/>
  <c r="D501" i="6"/>
  <c r="E637" i="6"/>
  <c r="F726" i="6"/>
  <c r="E847" i="6"/>
  <c r="E844" i="6" s="1"/>
  <c r="F996" i="6"/>
  <c r="F995" i="6" s="1"/>
  <c r="E778" i="6"/>
  <c r="E14" i="6"/>
  <c r="E24" i="6"/>
  <c r="E39" i="6"/>
  <c r="E48" i="6"/>
  <c r="E94" i="6"/>
  <c r="C226" i="6"/>
  <c r="E502" i="6"/>
  <c r="E711" i="6"/>
  <c r="E560" i="6"/>
  <c r="F642" i="6"/>
  <c r="F960" i="6"/>
  <c r="E8" i="6"/>
  <c r="E17" i="6"/>
  <c r="E21" i="6"/>
  <c r="F65" i="6"/>
  <c r="F94" i="6"/>
  <c r="E101" i="6"/>
  <c r="F115" i="6"/>
  <c r="E222" i="6"/>
  <c r="E228" i="6"/>
  <c r="E226" i="6" s="1"/>
  <c r="F258" i="6"/>
  <c r="F324" i="6"/>
  <c r="F427" i="6"/>
  <c r="F439" i="6"/>
  <c r="F628" i="6"/>
  <c r="F718" i="6"/>
  <c r="E753" i="6"/>
  <c r="E752" i="6" s="1"/>
  <c r="E750" i="6"/>
  <c r="F825" i="6"/>
  <c r="F824" i="6" s="1"/>
  <c r="F816" i="6"/>
  <c r="E814" i="6"/>
  <c r="E813" i="6" s="1"/>
  <c r="E811" i="6"/>
  <c r="F835" i="6"/>
  <c r="F21" i="6"/>
  <c r="E45" i="6"/>
  <c r="F120" i="6"/>
  <c r="F138" i="6"/>
  <c r="F140" i="6"/>
  <c r="D206" i="6"/>
  <c r="F580" i="6"/>
  <c r="F665" i="6"/>
  <c r="E790" i="6"/>
  <c r="E853" i="6" s="1"/>
  <c r="F857" i="6"/>
  <c r="F941" i="6"/>
  <c r="F330" i="6"/>
  <c r="F99" i="6"/>
  <c r="F192" i="6"/>
  <c r="F292" i="6"/>
  <c r="F414" i="6"/>
  <c r="E648" i="6"/>
  <c r="F707" i="6"/>
  <c r="F785" i="6"/>
  <c r="F802" i="6"/>
  <c r="F981" i="6"/>
  <c r="D1011" i="6"/>
  <c r="E508" i="6"/>
  <c r="E565" i="6"/>
  <c r="E564" i="6" s="1"/>
  <c r="F741" i="6"/>
  <c r="F334" i="6"/>
  <c r="F490" i="6"/>
  <c r="E535" i="6"/>
  <c r="E534" i="6" s="1"/>
  <c r="F588" i="6"/>
  <c r="C849" i="6"/>
  <c r="C848" i="6" s="1"/>
  <c r="F948" i="6"/>
  <c r="F352" i="6"/>
  <c r="F355" i="6"/>
  <c r="E390" i="6"/>
  <c r="E410" i="6"/>
  <c r="F424" i="6"/>
  <c r="E479" i="6"/>
  <c r="E478" i="6" s="1"/>
  <c r="E503" i="6"/>
  <c r="E552" i="6"/>
  <c r="E551" i="6" s="1"/>
  <c r="F591" i="6"/>
  <c r="F606" i="6"/>
  <c r="E622" i="6"/>
  <c r="F667" i="6"/>
  <c r="F671" i="6"/>
  <c r="F750" i="6"/>
  <c r="F757" i="6"/>
  <c r="F798" i="6"/>
  <c r="E835" i="6"/>
  <c r="E829" i="6" s="1"/>
  <c r="C866" i="6"/>
  <c r="C865" i="6" s="1"/>
  <c r="E976" i="6"/>
  <c r="E1005" i="6"/>
  <c r="F12" i="6"/>
  <c r="F275" i="6"/>
  <c r="E394" i="6"/>
  <c r="E516" i="6"/>
  <c r="F596" i="6"/>
  <c r="F699" i="6"/>
  <c r="F694" i="6"/>
  <c r="F991" i="6"/>
  <c r="E36" i="6"/>
  <c r="F39" i="6"/>
  <c r="C82" i="6"/>
  <c r="C1010" i="6" s="1"/>
  <c r="F101" i="6"/>
  <c r="E113" i="6"/>
  <c r="F124" i="6"/>
  <c r="F160" i="6"/>
  <c r="F162" i="6"/>
  <c r="F176" i="6"/>
  <c r="C242" i="6"/>
  <c r="F235" i="6"/>
  <c r="F237" i="6"/>
  <c r="F304" i="6"/>
  <c r="F386" i="6"/>
  <c r="E402" i="6"/>
  <c r="F525" i="6"/>
  <c r="F612" i="6"/>
  <c r="F614" i="6"/>
  <c r="E686" i="6"/>
  <c r="F847" i="6"/>
  <c r="F14" i="6"/>
  <c r="F365" i="6"/>
  <c r="E521" i="6"/>
  <c r="E515" i="6"/>
  <c r="E694" i="6"/>
  <c r="F17" i="6"/>
  <c r="F58" i="6"/>
  <c r="C80" i="6"/>
  <c r="F111" i="6"/>
  <c r="F113" i="6"/>
  <c r="C119" i="6"/>
  <c r="F126" i="6"/>
  <c r="F130" i="6"/>
  <c r="F132" i="6"/>
  <c r="F151" i="6"/>
  <c r="E167" i="6"/>
  <c r="E166" i="6" s="1"/>
  <c r="D242" i="6"/>
  <c r="F210" i="6"/>
  <c r="E220" i="6"/>
  <c r="E379" i="6"/>
  <c r="F467" i="6"/>
  <c r="F503" i="6"/>
  <c r="E511" i="6"/>
  <c r="F532" i="6"/>
  <c r="F540" i="6"/>
  <c r="F565" i="6"/>
  <c r="E730" i="6"/>
  <c r="F743" i="6"/>
  <c r="E789" i="6"/>
  <c r="E767" i="6"/>
  <c r="F767" i="6"/>
  <c r="E796" i="6"/>
  <c r="E146" i="6"/>
  <c r="E154" i="6"/>
  <c r="E153" i="6" s="1"/>
  <c r="F302" i="6"/>
  <c r="C478" i="6"/>
  <c r="E496" i="6"/>
  <c r="E495" i="6" s="1"/>
  <c r="F578" i="6"/>
  <c r="D747" i="6"/>
  <c r="D788" i="6"/>
  <c r="E467" i="6"/>
  <c r="E466" i="6" s="1"/>
  <c r="D514" i="6"/>
  <c r="F535" i="6"/>
  <c r="E540" i="6"/>
  <c r="E539" i="6" s="1"/>
  <c r="E657" i="6"/>
  <c r="E653" i="6" s="1"/>
  <c r="F748" i="6"/>
  <c r="E875" i="6"/>
  <c r="E874" i="6" s="1"/>
  <c r="E871" i="6"/>
  <c r="D901" i="6"/>
  <c r="C908" i="6"/>
  <c r="E458" i="6"/>
  <c r="E683" i="6" s="1"/>
  <c r="E473" i="6"/>
  <c r="E472" i="6" s="1"/>
  <c r="E518" i="6"/>
  <c r="E701" i="6"/>
  <c r="E952" i="6"/>
  <c r="E951" i="6" s="1"/>
  <c r="E867" i="6"/>
  <c r="F659" i="6"/>
  <c r="F739" i="6"/>
  <c r="D852" i="6"/>
  <c r="D824" i="6"/>
  <c r="E912" i="6"/>
  <c r="E967" i="6"/>
  <c r="C1011" i="6"/>
  <c r="E981" i="6"/>
  <c r="E1011" i="6" s="1"/>
  <c r="F987" i="6"/>
  <c r="E634" i="6"/>
  <c r="E770" i="6"/>
  <c r="E809" i="6"/>
  <c r="E808" i="6" s="1"/>
  <c r="E974" i="6"/>
  <c r="E893" i="6"/>
  <c r="E892" i="6" s="1"/>
  <c r="E842" i="6"/>
  <c r="E859" i="6"/>
  <c r="E873" i="6"/>
  <c r="F952" i="6"/>
  <c r="F963" i="6"/>
  <c r="F982" i="6"/>
  <c r="C747" i="6"/>
  <c r="E825" i="6"/>
  <c r="E852" i="6" s="1"/>
  <c r="E820" i="6"/>
  <c r="E902" i="6"/>
  <c r="E901" i="6" s="1"/>
  <c r="F916" i="6"/>
  <c r="F970" i="6"/>
  <c r="D980" i="6"/>
  <c r="C78" i="6"/>
  <c r="C74" i="6" s="1"/>
  <c r="C58" i="6"/>
  <c r="F75" i="6"/>
  <c r="F90" i="6"/>
  <c r="D103" i="6"/>
  <c r="F167" i="6"/>
  <c r="F158" i="6"/>
  <c r="D191" i="6"/>
  <c r="E235" i="6"/>
  <c r="F273" i="6"/>
  <c r="F298" i="6"/>
  <c r="F357" i="6"/>
  <c r="F375" i="6"/>
  <c r="F396" i="6"/>
  <c r="C681" i="6"/>
  <c r="C564" i="6"/>
  <c r="F33" i="6"/>
  <c r="F36" i="6"/>
  <c r="E33" i="6"/>
  <c r="E35" i="6"/>
  <c r="E77" i="6"/>
  <c r="E54" i="6"/>
  <c r="D78" i="6"/>
  <c r="D58" i="6"/>
  <c r="E72" i="6"/>
  <c r="E75" i="6"/>
  <c r="C171" i="6"/>
  <c r="C170" i="6" s="1"/>
  <c r="E103" i="6"/>
  <c r="E117" i="6"/>
  <c r="F128" i="6"/>
  <c r="E147" i="6"/>
  <c r="E172" i="6" s="1"/>
  <c r="E142" i="6"/>
  <c r="C145" i="6"/>
  <c r="D199" i="6"/>
  <c r="D226" i="6"/>
  <c r="E230" i="6"/>
  <c r="D234" i="6"/>
  <c r="E240" i="6"/>
  <c r="E239" i="6" s="1"/>
  <c r="F252" i="6"/>
  <c r="D282" i="6"/>
  <c r="F314" i="6"/>
  <c r="E332" i="6"/>
  <c r="F437" i="6"/>
  <c r="F445" i="6"/>
  <c r="F479" i="6"/>
  <c r="C674" i="6"/>
  <c r="C489" i="6"/>
  <c r="F172" i="6"/>
  <c r="E106" i="6"/>
  <c r="E111" i="6"/>
  <c r="D119" i="6"/>
  <c r="F136" i="6"/>
  <c r="D166" i="6"/>
  <c r="E176" i="6"/>
  <c r="E192" i="6"/>
  <c r="E199" i="6" s="1"/>
  <c r="F227" i="6"/>
  <c r="F260" i="6"/>
  <c r="F367" i="6"/>
  <c r="F404" i="6"/>
  <c r="F412" i="6"/>
  <c r="F457" i="6"/>
  <c r="C466" i="6"/>
  <c r="F473" i="6"/>
  <c r="E530" i="6"/>
  <c r="F48" i="6"/>
  <c r="D80" i="6"/>
  <c r="E78" i="6"/>
  <c r="D82" i="6"/>
  <c r="D110" i="6"/>
  <c r="E120" i="6"/>
  <c r="F146" i="6"/>
  <c r="F149" i="6"/>
  <c r="F154" i="6"/>
  <c r="E168" i="6"/>
  <c r="D172" i="6"/>
  <c r="E179" i="6"/>
  <c r="E188" i="6"/>
  <c r="E187" i="6" s="1"/>
  <c r="C243" i="6"/>
  <c r="C198" i="6"/>
  <c r="F220" i="6"/>
  <c r="F306" i="6"/>
  <c r="F322" i="6"/>
  <c r="E457" i="6"/>
  <c r="F340" i="6"/>
  <c r="F388" i="6"/>
  <c r="F420" i="6"/>
  <c r="F429" i="6"/>
  <c r="F484" i="6"/>
  <c r="F508" i="6"/>
  <c r="F502" i="6"/>
  <c r="F521" i="6"/>
  <c r="F616" i="6"/>
  <c r="F650" i="6"/>
  <c r="F675" i="6"/>
  <c r="D697" i="6"/>
  <c r="F714" i="6"/>
  <c r="E861" i="6"/>
  <c r="C191" i="6"/>
  <c r="E224" i="6"/>
  <c r="F300" i="6"/>
  <c r="F308" i="6"/>
  <c r="F342" i="6"/>
  <c r="F359" i="6"/>
  <c r="C676" i="6"/>
  <c r="C682" i="6" s="1"/>
  <c r="F461" i="6"/>
  <c r="D489" i="6"/>
  <c r="D674" i="6"/>
  <c r="D534" i="6"/>
  <c r="F545" i="6"/>
  <c r="C551" i="6"/>
  <c r="E675" i="6"/>
  <c r="F558" i="6"/>
  <c r="F624" i="6"/>
  <c r="F632" i="6"/>
  <c r="F637" i="6"/>
  <c r="F669" i="6"/>
  <c r="E690" i="6"/>
  <c r="C853" i="6"/>
  <c r="C1015" i="6" s="1"/>
  <c r="C697" i="6"/>
  <c r="F709" i="6"/>
  <c r="E745" i="6"/>
  <c r="F869" i="6"/>
  <c r="F875" i="6"/>
  <c r="F873" i="6"/>
  <c r="F203" i="6"/>
  <c r="F256" i="6"/>
  <c r="C318" i="6"/>
  <c r="F392" i="6"/>
  <c r="F400" i="6"/>
  <c r="F416" i="6"/>
  <c r="F433" i="6"/>
  <c r="D676" i="6"/>
  <c r="D524" i="6"/>
  <c r="C653" i="6"/>
  <c r="E722" i="6"/>
  <c r="E735" i="6"/>
  <c r="E728" i="6"/>
  <c r="E734" i="6"/>
  <c r="F765" i="6"/>
  <c r="F762" i="6"/>
  <c r="C282" i="6"/>
  <c r="F458" i="6"/>
  <c r="F683" i="6" s="1"/>
  <c r="F346" i="6"/>
  <c r="F373" i="6"/>
  <c r="E490" i="6"/>
  <c r="F518" i="6"/>
  <c r="F515" i="6"/>
  <c r="C571" i="6"/>
  <c r="F582" i="6"/>
  <c r="E591" i="6"/>
  <c r="F608" i="6"/>
  <c r="E698" i="6"/>
  <c r="E714" i="6"/>
  <c r="E713" i="6" s="1"/>
  <c r="F773" i="6"/>
  <c r="D853" i="6"/>
  <c r="E723" i="6"/>
  <c r="F734" i="6"/>
  <c r="F735" i="6"/>
  <c r="E762" i="6"/>
  <c r="F809" i="6"/>
  <c r="D866" i="6"/>
  <c r="C964" i="6"/>
  <c r="C962" i="6" s="1"/>
  <c r="C874" i="6"/>
  <c r="E948" i="6"/>
  <c r="F549" i="6"/>
  <c r="F604" i="6"/>
  <c r="F698" i="6"/>
  <c r="E748" i="6"/>
  <c r="F789" i="6"/>
  <c r="F790" i="6"/>
  <c r="F770" i="6"/>
  <c r="F783" i="6"/>
  <c r="F722" i="6"/>
  <c r="F723" i="6"/>
  <c r="E806" i="6"/>
  <c r="D808" i="6"/>
  <c r="E884" i="6"/>
  <c r="E868" i="6"/>
  <c r="E872" i="6"/>
  <c r="F945" i="6"/>
  <c r="E760" i="6"/>
  <c r="E759" i="6" s="1"/>
  <c r="D849" i="6"/>
  <c r="E869" i="6"/>
  <c r="F868" i="6"/>
  <c r="F872" i="6"/>
  <c r="F902" i="6"/>
  <c r="D915" i="6"/>
  <c r="D964" i="6"/>
  <c r="D931" i="6"/>
  <c r="D951" i="6"/>
  <c r="D969" i="6"/>
  <c r="E982" i="6"/>
  <c r="C1012" i="6"/>
  <c r="C980" i="6"/>
  <c r="E963" i="6"/>
  <c r="F867" i="6"/>
  <c r="F871" i="6"/>
  <c r="E870" i="6"/>
  <c r="F923" i="6"/>
  <c r="F1005" i="6"/>
  <c r="F985" i="6"/>
  <c r="F993" i="6"/>
  <c r="F870" i="6"/>
  <c r="C883" i="6"/>
  <c r="C829" i="6"/>
  <c r="E916" i="6"/>
  <c r="E915" i="6" s="1"/>
  <c r="E985" i="6"/>
  <c r="F989" i="6"/>
  <c r="E996" i="6"/>
  <c r="F893" i="6"/>
  <c r="F909" i="6"/>
  <c r="E824" i="6" l="1"/>
  <c r="E282" i="6"/>
  <c r="E281" i="6" s="1"/>
  <c r="F681" i="6"/>
  <c r="F242" i="6"/>
  <c r="D456" i="6"/>
  <c r="D680" i="6" s="1"/>
  <c r="F466" i="6"/>
  <c r="F191" i="6"/>
  <c r="F239" i="6"/>
  <c r="F82" i="6"/>
  <c r="F1010" i="6" s="1"/>
  <c r="F534" i="6"/>
  <c r="F844" i="6"/>
  <c r="F1011" i="6"/>
  <c r="F98" i="6"/>
  <c r="F959" i="6"/>
  <c r="F653" i="6"/>
  <c r="F759" i="6"/>
  <c r="F187" i="6"/>
  <c r="F571" i="6"/>
  <c r="F813" i="6"/>
  <c r="F931" i="6"/>
  <c r="F1012" i="6"/>
  <c r="F110" i="6"/>
  <c r="E244" i="6"/>
  <c r="F969" i="6"/>
  <c r="F951" i="6"/>
  <c r="F234" i="6"/>
  <c r="F268" i="6"/>
  <c r="F1006" i="6"/>
  <c r="F1004" i="6" s="1"/>
  <c r="F912" i="6"/>
  <c r="E980" i="6"/>
  <c r="C851" i="6"/>
  <c r="C850" i="6" s="1"/>
  <c r="F915" i="6"/>
  <c r="F655" i="6"/>
  <c r="F564" i="6"/>
  <c r="F119" i="6"/>
  <c r="F947" i="6"/>
  <c r="F489" i="6"/>
  <c r="F829" i="6"/>
  <c r="F852" i="6"/>
  <c r="F495" i="6"/>
  <c r="F178" i="6"/>
  <c r="E849" i="6"/>
  <c r="E848" i="6" s="1"/>
  <c r="F199" i="6"/>
  <c r="E501" i="6"/>
  <c r="E514" i="6"/>
  <c r="E145" i="6"/>
  <c r="F282" i="6"/>
  <c r="F853" i="6"/>
  <c r="F1015" i="6" s="1"/>
  <c r="E788" i="6"/>
  <c r="F674" i="6"/>
  <c r="C241" i="6"/>
  <c r="F747" i="6"/>
  <c r="F940" i="6"/>
  <c r="E676" i="6"/>
  <c r="E682" i="6" s="1"/>
  <c r="F980" i="6"/>
  <c r="F539" i="6"/>
  <c r="C1013" i="6"/>
  <c r="E83" i="6"/>
  <c r="C673" i="6"/>
  <c r="F524" i="6"/>
  <c r="E1015" i="6"/>
  <c r="E32" i="6"/>
  <c r="D170" i="6"/>
  <c r="F849" i="6"/>
  <c r="F901" i="6"/>
  <c r="F944" i="6"/>
  <c r="F892" i="6"/>
  <c r="F922" i="6"/>
  <c r="D848" i="6"/>
  <c r="E883" i="6"/>
  <c r="E964" i="6"/>
  <c r="E962" i="6" s="1"/>
  <c r="F788" i="6"/>
  <c r="F697" i="6"/>
  <c r="E947" i="6"/>
  <c r="D682" i="6"/>
  <c r="F964" i="6"/>
  <c r="F874" i="6"/>
  <c r="F676" i="6"/>
  <c r="F460" i="6"/>
  <c r="F713" i="6"/>
  <c r="D851" i="6"/>
  <c r="F472" i="6"/>
  <c r="E110" i="6"/>
  <c r="D74" i="6"/>
  <c r="D83" i="6"/>
  <c r="F32" i="6"/>
  <c r="F908" i="6"/>
  <c r="D962" i="6"/>
  <c r="E1012" i="6"/>
  <c r="D865" i="6"/>
  <c r="E697" i="6"/>
  <c r="F514" i="6"/>
  <c r="E674" i="6"/>
  <c r="E489" i="6"/>
  <c r="E747" i="6"/>
  <c r="F501" i="6"/>
  <c r="D1010" i="6"/>
  <c r="F226" i="6"/>
  <c r="E191" i="6"/>
  <c r="E171" i="6"/>
  <c r="E170" i="6" s="1"/>
  <c r="C83" i="6"/>
  <c r="F478" i="6"/>
  <c r="D281" i="6"/>
  <c r="D243" i="6"/>
  <c r="D198" i="6"/>
  <c r="E82" i="6"/>
  <c r="E1010" i="6" s="1"/>
  <c r="E234" i="6"/>
  <c r="E119" i="6"/>
  <c r="F866" i="6"/>
  <c r="F764" i="6"/>
  <c r="F544" i="6"/>
  <c r="E681" i="6"/>
  <c r="E455" i="6"/>
  <c r="E178" i="6"/>
  <c r="E242" i="6"/>
  <c r="F145" i="6"/>
  <c r="E243" i="6"/>
  <c r="E198" i="6"/>
  <c r="E74" i="6"/>
  <c r="E80" i="6"/>
  <c r="F166" i="6"/>
  <c r="F171" i="6"/>
  <c r="F80" i="6"/>
  <c r="F74" i="6"/>
  <c r="E1006" i="6"/>
  <c r="E995" i="6"/>
  <c r="E866" i="6"/>
  <c r="E865" i="6" s="1"/>
  <c r="F808" i="6"/>
  <c r="D1015" i="6"/>
  <c r="C456" i="6"/>
  <c r="C281" i="6"/>
  <c r="D673" i="6"/>
  <c r="F483" i="6"/>
  <c r="F153" i="6"/>
  <c r="F83" i="6"/>
  <c r="L1009" i="3"/>
  <c r="D455" i="6" l="1"/>
  <c r="D1013" i="6"/>
  <c r="F456" i="6"/>
  <c r="F680" i="6" s="1"/>
  <c r="F281" i="6"/>
  <c r="E851" i="6"/>
  <c r="E850" i="6" s="1"/>
  <c r="F243" i="6"/>
  <c r="F1013" i="6" s="1"/>
  <c r="F198" i="6"/>
  <c r="E1014" i="6"/>
  <c r="E241" i="6"/>
  <c r="F848" i="6"/>
  <c r="F851" i="6"/>
  <c r="D1014" i="6"/>
  <c r="E1013" i="6"/>
  <c r="E1004" i="6"/>
  <c r="F170" i="6"/>
  <c r="F865" i="6"/>
  <c r="D79" i="6"/>
  <c r="F682" i="6"/>
  <c r="F673" i="6"/>
  <c r="D679" i="6"/>
  <c r="D241" i="6"/>
  <c r="D1008" i="6"/>
  <c r="F962" i="6"/>
  <c r="C680" i="6"/>
  <c r="C455" i="6"/>
  <c r="F79" i="6"/>
  <c r="C1014" i="6"/>
  <c r="C79" i="6"/>
  <c r="D850" i="6"/>
  <c r="E79" i="6"/>
  <c r="E673" i="6"/>
  <c r="E680" i="6"/>
  <c r="E679" i="6" s="1"/>
  <c r="K234" i="3"/>
  <c r="K232" i="3"/>
  <c r="F455" i="6" l="1"/>
  <c r="F850" i="6"/>
  <c r="F241" i="6"/>
  <c r="E1008" i="6"/>
  <c r="E1007" i="6" s="1"/>
  <c r="F679" i="6"/>
  <c r="F1008" i="6"/>
  <c r="D1007" i="6"/>
  <c r="C679" i="6"/>
  <c r="C1008" i="6"/>
  <c r="C1007" i="6" s="1"/>
  <c r="F1014" i="6"/>
  <c r="I244" i="3"/>
  <c r="F1007" i="6" l="1"/>
  <c r="E331" i="2"/>
  <c r="J677" i="3"/>
  <c r="I677" i="3"/>
  <c r="J566" i="3"/>
  <c r="I566" i="3"/>
  <c r="J571" i="3"/>
  <c r="I571" i="3"/>
  <c r="J572" i="3"/>
  <c r="I572" i="3"/>
  <c r="J559" i="3"/>
  <c r="J558" i="3" s="1"/>
  <c r="I559" i="3"/>
  <c r="I558" i="3" s="1"/>
  <c r="F504" i="4"/>
  <c r="F508" i="2"/>
  <c r="F677" i="3"/>
  <c r="J654" i="3"/>
  <c r="J641" i="3"/>
  <c r="J638" i="3"/>
  <c r="I458" i="3"/>
  <c r="J280" i="3"/>
  <c r="F1017" i="3"/>
  <c r="E1017" i="3"/>
  <c r="J621" i="3"/>
  <c r="I621" i="3"/>
  <c r="J619" i="3"/>
  <c r="I619" i="3"/>
  <c r="J583" i="3"/>
  <c r="J581" i="3"/>
  <c r="J565" i="3"/>
  <c r="J563" i="3"/>
  <c r="J561" i="3"/>
  <c r="I561" i="3"/>
  <c r="J552" i="3"/>
  <c r="I552" i="3"/>
  <c r="F547" i="3"/>
  <c r="F678" i="3" s="1"/>
  <c r="F542" i="3"/>
  <c r="F537" i="3"/>
  <c r="E1010" i="3"/>
  <c r="E1015" i="3"/>
  <c r="F875" i="3"/>
  <c r="F874" i="3"/>
  <c r="E874" i="3"/>
  <c r="F873" i="3"/>
  <c r="E873" i="3"/>
  <c r="F872" i="3"/>
  <c r="E872" i="3"/>
  <c r="F871" i="3"/>
  <c r="E871" i="3"/>
  <c r="E870" i="3"/>
  <c r="F870" i="3"/>
  <c r="F869" i="3"/>
  <c r="F966" i="3"/>
  <c r="E966" i="3"/>
  <c r="F459" i="3"/>
  <c r="E459" i="3"/>
  <c r="F460" i="3"/>
  <c r="E460" i="3"/>
  <c r="F190" i="3"/>
  <c r="E190" i="3"/>
  <c r="F181" i="3"/>
  <c r="E181" i="3"/>
  <c r="F868" i="3" l="1"/>
  <c r="J171" i="3"/>
  <c r="I171" i="3"/>
  <c r="F169" i="3"/>
  <c r="F148" i="3"/>
  <c r="F122" i="3"/>
  <c r="F93" i="3"/>
  <c r="I90" i="3"/>
  <c r="I93" i="3" s="1"/>
  <c r="F79" i="3"/>
  <c r="E79" i="3"/>
  <c r="F77" i="3"/>
  <c r="E77" i="3"/>
  <c r="F38" i="3"/>
  <c r="E38" i="3"/>
  <c r="F35" i="3"/>
  <c r="E35" i="3"/>
  <c r="F226" i="3"/>
  <c r="F224" i="3"/>
  <c r="F210" i="3"/>
  <c r="J207" i="3"/>
  <c r="J205" i="3" s="1"/>
  <c r="F205" i="3"/>
  <c r="J210" i="3" l="1"/>
  <c r="J208" i="3" s="1"/>
  <c r="F208" i="3"/>
  <c r="I17" i="3"/>
  <c r="F984" i="3" l="1"/>
  <c r="J984" i="3" s="1"/>
  <c r="J1014" i="3" s="1"/>
  <c r="F983" i="3"/>
  <c r="J983" i="3" s="1"/>
  <c r="J1013" i="3" s="1"/>
  <c r="J981" i="3"/>
  <c r="J54" i="3"/>
  <c r="I54" i="3"/>
  <c r="E37" i="3"/>
  <c r="J59" i="3"/>
  <c r="J43" i="3"/>
  <c r="J49" i="3"/>
  <c r="I43" i="3"/>
  <c r="F62" i="3"/>
  <c r="F14" i="3"/>
  <c r="J535" i="3" l="1"/>
  <c r="J534" i="3" s="1"/>
  <c r="I535" i="3"/>
  <c r="I534" i="3" s="1"/>
  <c r="J533" i="3"/>
  <c r="J532" i="3" s="1"/>
  <c r="I533" i="3"/>
  <c r="I532" i="3" s="1"/>
  <c r="G533" i="3"/>
  <c r="F532" i="3"/>
  <c r="E532" i="3"/>
  <c r="J531" i="3"/>
  <c r="I531" i="3"/>
  <c r="J530" i="3"/>
  <c r="I530" i="3"/>
  <c r="J529" i="3"/>
  <c r="I529" i="3"/>
  <c r="J525" i="3"/>
  <c r="I525" i="3"/>
  <c r="J524" i="3"/>
  <c r="I524" i="3"/>
  <c r="J521" i="3"/>
  <c r="I521" i="3"/>
  <c r="F518" i="3"/>
  <c r="F517" i="3"/>
  <c r="E518" i="3"/>
  <c r="E517" i="3"/>
  <c r="F520" i="3"/>
  <c r="E520" i="3"/>
  <c r="J515" i="3"/>
  <c r="I515" i="3"/>
  <c r="J514" i="3"/>
  <c r="I514" i="3"/>
  <c r="J512" i="3"/>
  <c r="I512" i="3"/>
  <c r="J511" i="3"/>
  <c r="I511" i="3"/>
  <c r="J509" i="3"/>
  <c r="J505" i="3" s="1"/>
  <c r="I509" i="3"/>
  <c r="I505" i="3" s="1"/>
  <c r="J508" i="3"/>
  <c r="J504" i="3" s="1"/>
  <c r="I508" i="3"/>
  <c r="J502" i="3"/>
  <c r="K502" i="3" s="1"/>
  <c r="I502" i="3"/>
  <c r="J501" i="3"/>
  <c r="I501" i="3"/>
  <c r="J500" i="3"/>
  <c r="I500" i="3"/>
  <c r="G498" i="3"/>
  <c r="G500" i="3"/>
  <c r="G501" i="3"/>
  <c r="G502" i="3"/>
  <c r="F497" i="3"/>
  <c r="F498" i="3"/>
  <c r="E498" i="3"/>
  <c r="E497" i="3" s="1"/>
  <c r="I517" i="3" l="1"/>
  <c r="K517" i="3" s="1"/>
  <c r="J527" i="3"/>
  <c r="J517" i="3"/>
  <c r="G532" i="3"/>
  <c r="K534" i="3"/>
  <c r="K535" i="3"/>
  <c r="K532" i="3"/>
  <c r="G497" i="3"/>
  <c r="K533" i="3"/>
  <c r="I498" i="3"/>
  <c r="I497" i="3" s="1"/>
  <c r="J510" i="3"/>
  <c r="K531" i="3"/>
  <c r="K525" i="3"/>
  <c r="K530" i="3"/>
  <c r="K514" i="3"/>
  <c r="J498" i="3"/>
  <c r="J497" i="3" s="1"/>
  <c r="I513" i="3"/>
  <c r="K521" i="3"/>
  <c r="K524" i="3"/>
  <c r="K529" i="3"/>
  <c r="I527" i="3"/>
  <c r="I526" i="3" s="1"/>
  <c r="K509" i="3"/>
  <c r="K512" i="3"/>
  <c r="I523" i="3"/>
  <c r="K501" i="3"/>
  <c r="I507" i="3"/>
  <c r="K511" i="3"/>
  <c r="J523" i="3"/>
  <c r="K500" i="3"/>
  <c r="J507" i="3"/>
  <c r="K505" i="3"/>
  <c r="K508" i="3"/>
  <c r="I510" i="3"/>
  <c r="I504" i="3"/>
  <c r="I503" i="3" s="1"/>
  <c r="K515" i="3"/>
  <c r="J513" i="3"/>
  <c r="K497" i="3" l="1"/>
  <c r="K510" i="3"/>
  <c r="K498" i="3"/>
  <c r="K513" i="3"/>
  <c r="K507" i="3"/>
  <c r="K523" i="3"/>
  <c r="J526" i="3"/>
  <c r="K526" i="3" s="1"/>
  <c r="K527" i="3"/>
  <c r="J503" i="3"/>
  <c r="K503" i="3" s="1"/>
  <c r="K504" i="3"/>
  <c r="J496" i="3" l="1"/>
  <c r="I496" i="3"/>
  <c r="J494" i="3"/>
  <c r="J495" i="3"/>
  <c r="I495" i="3"/>
  <c r="I494" i="3"/>
  <c r="J490" i="3"/>
  <c r="I490" i="3"/>
  <c r="J489" i="3"/>
  <c r="I489" i="3"/>
  <c r="J488" i="3"/>
  <c r="I488" i="3"/>
  <c r="J484" i="3"/>
  <c r="I484" i="3"/>
  <c r="J483" i="3"/>
  <c r="I483" i="3"/>
  <c r="J479" i="3"/>
  <c r="I479" i="3"/>
  <c r="J478" i="3"/>
  <c r="I478" i="3"/>
  <c r="J477" i="3"/>
  <c r="I477" i="3"/>
  <c r="J473" i="3"/>
  <c r="I473" i="3"/>
  <c r="J472" i="3"/>
  <c r="I472" i="3"/>
  <c r="J471" i="3"/>
  <c r="I471" i="3"/>
  <c r="J467" i="3"/>
  <c r="I467" i="3"/>
  <c r="J466" i="3"/>
  <c r="I466" i="3"/>
  <c r="J465" i="3"/>
  <c r="I465" i="3"/>
  <c r="F321" i="3"/>
  <c r="E321" i="3"/>
  <c r="J463" i="3" l="1"/>
  <c r="J475" i="3"/>
  <c r="J481" i="3"/>
  <c r="J486" i="3"/>
  <c r="J469" i="3"/>
  <c r="K471" i="3"/>
  <c r="K467" i="3"/>
  <c r="K472" i="3"/>
  <c r="K479" i="3"/>
  <c r="K484" i="3"/>
  <c r="K489" i="3"/>
  <c r="K496" i="3"/>
  <c r="K494" i="3"/>
  <c r="K466" i="3"/>
  <c r="K495" i="3"/>
  <c r="K473" i="3"/>
  <c r="K478" i="3"/>
  <c r="K483" i="3"/>
  <c r="K488" i="3"/>
  <c r="K490" i="3"/>
  <c r="K465" i="3"/>
  <c r="K477" i="3"/>
  <c r="I463" i="3"/>
  <c r="J492" i="3"/>
  <c r="I492" i="3"/>
  <c r="I486" i="3"/>
  <c r="I485" i="3" s="1"/>
  <c r="I481" i="3"/>
  <c r="I480" i="3" s="1"/>
  <c r="I475" i="3"/>
  <c r="I474" i="3" s="1"/>
  <c r="I469" i="3"/>
  <c r="I468" i="3" s="1"/>
  <c r="J319" i="3"/>
  <c r="I319" i="3"/>
  <c r="I318" i="3" s="1"/>
  <c r="F318" i="3"/>
  <c r="E318" i="3"/>
  <c r="J317" i="3"/>
  <c r="J316" i="3" s="1"/>
  <c r="I317" i="3"/>
  <c r="I316" i="3" s="1"/>
  <c r="E316" i="3"/>
  <c r="J315" i="3"/>
  <c r="I315" i="3"/>
  <c r="I314" i="3" s="1"/>
  <c r="F314" i="3"/>
  <c r="E314" i="3"/>
  <c r="J313" i="3"/>
  <c r="I313" i="3"/>
  <c r="I312" i="3" s="1"/>
  <c r="J311" i="3"/>
  <c r="J310" i="3" s="1"/>
  <c r="I311" i="3"/>
  <c r="I310" i="3" s="1"/>
  <c r="J309" i="3"/>
  <c r="I309" i="3"/>
  <c r="I308" i="3" s="1"/>
  <c r="F308" i="3"/>
  <c r="E308" i="3"/>
  <c r="J307" i="3"/>
  <c r="I307" i="3"/>
  <c r="I306" i="3" s="1"/>
  <c r="F306" i="3"/>
  <c r="E306" i="3"/>
  <c r="J305" i="3"/>
  <c r="I305" i="3"/>
  <c r="I304" i="3" s="1"/>
  <c r="J303" i="3"/>
  <c r="I303" i="3"/>
  <c r="I302" i="3" s="1"/>
  <c r="J301" i="3"/>
  <c r="I301" i="3"/>
  <c r="I300" i="3" s="1"/>
  <c r="J299" i="3"/>
  <c r="J297" i="3" s="1"/>
  <c r="I299" i="3"/>
  <c r="I297" i="3" s="1"/>
  <c r="J296" i="3"/>
  <c r="I296" i="3"/>
  <c r="I294" i="3" s="1"/>
  <c r="J293" i="3"/>
  <c r="I293" i="3"/>
  <c r="J292" i="3"/>
  <c r="J290" i="3" s="1"/>
  <c r="I292" i="3"/>
  <c r="J267" i="3"/>
  <c r="I491" i="3" l="1"/>
  <c r="I462" i="3"/>
  <c r="K296" i="3"/>
  <c r="J468" i="3"/>
  <c r="K468" i="3" s="1"/>
  <c r="K469" i="3"/>
  <c r="J480" i="3"/>
  <c r="K480" i="3" s="1"/>
  <c r="K481" i="3"/>
  <c r="J491" i="3"/>
  <c r="K492" i="3"/>
  <c r="J462" i="3"/>
  <c r="K463" i="3"/>
  <c r="J474" i="3"/>
  <c r="K474" i="3" s="1"/>
  <c r="K475" i="3"/>
  <c r="J485" i="3"/>
  <c r="K485" i="3" s="1"/>
  <c r="K486" i="3"/>
  <c r="K319" i="3"/>
  <c r="K313" i="3"/>
  <c r="K315" i="3"/>
  <c r="J294" i="3"/>
  <c r="K297" i="3"/>
  <c r="K311" i="3"/>
  <c r="K310" i="3"/>
  <c r="K293" i="3"/>
  <c r="K294" i="3"/>
  <c r="K316" i="3"/>
  <c r="J318" i="3"/>
  <c r="K318" i="3" s="1"/>
  <c r="K299" i="3"/>
  <c r="J312" i="3"/>
  <c r="K312" i="3" s="1"/>
  <c r="J314" i="3"/>
  <c r="K314" i="3" s="1"/>
  <c r="K317" i="3"/>
  <c r="K303" i="3"/>
  <c r="K305" i="3"/>
  <c r="K307" i="3"/>
  <c r="K309" i="3"/>
  <c r="J304" i="3"/>
  <c r="K304" i="3" s="1"/>
  <c r="J306" i="3"/>
  <c r="K306" i="3" s="1"/>
  <c r="J308" i="3"/>
  <c r="K308" i="3" s="1"/>
  <c r="J302" i="3"/>
  <c r="K302" i="3" s="1"/>
  <c r="K292" i="3"/>
  <c r="K301" i="3"/>
  <c r="J300" i="3"/>
  <c r="K300" i="3" s="1"/>
  <c r="I290" i="3"/>
  <c r="K290" i="3" s="1"/>
  <c r="K491" i="3" l="1"/>
  <c r="K462" i="3"/>
  <c r="E677" i="3"/>
  <c r="J674" i="3"/>
  <c r="J673" i="3" s="1"/>
  <c r="I674" i="3"/>
  <c r="I673" i="3" s="1"/>
  <c r="F673" i="3"/>
  <c r="F671" i="3"/>
  <c r="E673" i="3"/>
  <c r="J450" i="3"/>
  <c r="J449" i="3" s="1"/>
  <c r="I450" i="3"/>
  <c r="J448" i="3"/>
  <c r="J447" i="3" s="1"/>
  <c r="I448" i="3"/>
  <c r="J446" i="3"/>
  <c r="J445" i="3" s="1"/>
  <c r="I446" i="3"/>
  <c r="J444" i="3"/>
  <c r="J443" i="3" s="1"/>
  <c r="I444" i="3"/>
  <c r="F443" i="3"/>
  <c r="E443" i="3"/>
  <c r="J442" i="3"/>
  <c r="J441" i="3" s="1"/>
  <c r="I442" i="3"/>
  <c r="F441" i="3"/>
  <c r="E441" i="3"/>
  <c r="J440" i="3"/>
  <c r="J439" i="3" s="1"/>
  <c r="I440" i="3"/>
  <c r="F439" i="3"/>
  <c r="E439" i="3"/>
  <c r="K442" i="3" l="1"/>
  <c r="K444" i="3"/>
  <c r="K446" i="3"/>
  <c r="K448" i="3"/>
  <c r="K450" i="3"/>
  <c r="K440" i="3"/>
  <c r="K673" i="3"/>
  <c r="I439" i="3"/>
  <c r="K439" i="3" s="1"/>
  <c r="I441" i="3"/>
  <c r="K441" i="3" s="1"/>
  <c r="K674" i="3"/>
  <c r="I443" i="3"/>
  <c r="K443" i="3" s="1"/>
  <c r="I445" i="3"/>
  <c r="K445" i="3" s="1"/>
  <c r="I447" i="3"/>
  <c r="K447" i="3" s="1"/>
  <c r="I449" i="3"/>
  <c r="K449" i="3" s="1"/>
  <c r="J963" i="3"/>
  <c r="J922" i="3"/>
  <c r="G891" i="3"/>
  <c r="J672" i="3"/>
  <c r="J671" i="3" s="1"/>
  <c r="I672" i="3"/>
  <c r="I671" i="3" s="1"/>
  <c r="E671" i="3"/>
  <c r="J670" i="3"/>
  <c r="J669" i="3" s="1"/>
  <c r="E669" i="3"/>
  <c r="I670" i="3"/>
  <c r="I669" i="3" s="1"/>
  <c r="J668" i="3"/>
  <c r="J667" i="3" s="1"/>
  <c r="I668" i="3"/>
  <c r="I667" i="3" s="1"/>
  <c r="F667" i="3"/>
  <c r="E667" i="3"/>
  <c r="K666" i="3"/>
  <c r="J665" i="3"/>
  <c r="K665" i="3" s="1"/>
  <c r="I665" i="3"/>
  <c r="F665" i="3"/>
  <c r="E665" i="3"/>
  <c r="J664" i="3"/>
  <c r="I664" i="3"/>
  <c r="I663" i="3" s="1"/>
  <c r="F663" i="3"/>
  <c r="E663" i="3"/>
  <c r="J662" i="3"/>
  <c r="J661" i="3" s="1"/>
  <c r="I662" i="3"/>
  <c r="I661" i="3" s="1"/>
  <c r="F661" i="3"/>
  <c r="E661" i="3"/>
  <c r="J438" i="3"/>
  <c r="J437" i="3" s="1"/>
  <c r="I438" i="3"/>
  <c r="I437" i="3" s="1"/>
  <c r="J436" i="3"/>
  <c r="J435" i="3" s="1"/>
  <c r="I436" i="3"/>
  <c r="J434" i="3"/>
  <c r="J433" i="3" s="1"/>
  <c r="I434" i="3"/>
  <c r="J432" i="3"/>
  <c r="I432" i="3"/>
  <c r="I431" i="3" s="1"/>
  <c r="J430" i="3"/>
  <c r="I430" i="3"/>
  <c r="I429" i="3" s="1"/>
  <c r="F429" i="3"/>
  <c r="E429" i="3"/>
  <c r="J427" i="3"/>
  <c r="J426" i="3" s="1"/>
  <c r="I427" i="3"/>
  <c r="I426" i="3" s="1"/>
  <c r="F426" i="3"/>
  <c r="E426" i="3"/>
  <c r="J425" i="3"/>
  <c r="J424" i="3" s="1"/>
  <c r="I425" i="3"/>
  <c r="I424" i="3" s="1"/>
  <c r="J423" i="3"/>
  <c r="J422" i="3" s="1"/>
  <c r="I423" i="3"/>
  <c r="I422" i="3" s="1"/>
  <c r="J421" i="3"/>
  <c r="J420" i="3" s="1"/>
  <c r="I421" i="3"/>
  <c r="I420" i="3" s="1"/>
  <c r="F420" i="3"/>
  <c r="E420" i="3"/>
  <c r="J663" i="3" l="1"/>
  <c r="K669" i="3"/>
  <c r="K670" i="3"/>
  <c r="K667" i="3"/>
  <c r="K671" i="3"/>
  <c r="K434" i="3"/>
  <c r="K436" i="3"/>
  <c r="K668" i="3"/>
  <c r="K672" i="3"/>
  <c r="I435" i="3"/>
  <c r="K435" i="3" s="1"/>
  <c r="K437" i="3"/>
  <c r="K661" i="3"/>
  <c r="K663" i="3"/>
  <c r="K438" i="3"/>
  <c r="K662" i="3"/>
  <c r="K664" i="3"/>
  <c r="K432" i="3"/>
  <c r="K430" i="3"/>
  <c r="J431" i="3"/>
  <c r="K431" i="3" s="1"/>
  <c r="I433" i="3"/>
  <c r="K433" i="3" s="1"/>
  <c r="K423" i="3"/>
  <c r="K422" i="3"/>
  <c r="K426" i="3"/>
  <c r="J429" i="3"/>
  <c r="K429" i="3" s="1"/>
  <c r="K424" i="3"/>
  <c r="K420" i="3"/>
  <c r="K421" i="3"/>
  <c r="K425" i="3"/>
  <c r="K427" i="3"/>
  <c r="G921" i="3"/>
  <c r="J660" i="3"/>
  <c r="I660" i="3"/>
  <c r="I659" i="3" s="1"/>
  <c r="F659" i="3"/>
  <c r="F655" i="3" s="1"/>
  <c r="E659" i="3"/>
  <c r="E655" i="3" s="1"/>
  <c r="J658" i="3"/>
  <c r="K658" i="3" s="1"/>
  <c r="I658" i="3"/>
  <c r="I657" i="3" s="1"/>
  <c r="G658" i="3"/>
  <c r="F657" i="3"/>
  <c r="E657" i="3"/>
  <c r="J656" i="3"/>
  <c r="I656" i="3"/>
  <c r="K653" i="3"/>
  <c r="K654" i="3"/>
  <c r="J652" i="3"/>
  <c r="I652" i="3"/>
  <c r="F652" i="3"/>
  <c r="E652" i="3"/>
  <c r="J651" i="3"/>
  <c r="I651" i="3"/>
  <c r="I650" i="3" s="1"/>
  <c r="G651" i="3"/>
  <c r="F650" i="3"/>
  <c r="E650" i="3"/>
  <c r="J649" i="3"/>
  <c r="J648" i="3" s="1"/>
  <c r="I649" i="3"/>
  <c r="I648" i="3" s="1"/>
  <c r="F648" i="3"/>
  <c r="E648" i="3"/>
  <c r="J647" i="3"/>
  <c r="J646" i="3" s="1"/>
  <c r="I647" i="3"/>
  <c r="I646" i="3" s="1"/>
  <c r="G647" i="3"/>
  <c r="F646" i="3"/>
  <c r="E646" i="3"/>
  <c r="J645" i="3"/>
  <c r="J644" i="3" s="1"/>
  <c r="I645" i="3"/>
  <c r="I644" i="3" s="1"/>
  <c r="F644" i="3"/>
  <c r="E644" i="3"/>
  <c r="J643" i="3"/>
  <c r="J642" i="3" s="1"/>
  <c r="I643" i="3"/>
  <c r="I642" i="3" s="1"/>
  <c r="F642" i="3"/>
  <c r="E642" i="3"/>
  <c r="I641" i="3"/>
  <c r="J640" i="3"/>
  <c r="J639" i="3" s="1"/>
  <c r="I640" i="3"/>
  <c r="J636" i="3"/>
  <c r="I638" i="3"/>
  <c r="I637" i="3"/>
  <c r="K637" i="3" s="1"/>
  <c r="J635" i="3"/>
  <c r="J634" i="3" s="1"/>
  <c r="I635" i="3"/>
  <c r="I634" i="3" s="1"/>
  <c r="J633" i="3"/>
  <c r="J632" i="3" s="1"/>
  <c r="I633" i="3"/>
  <c r="F632" i="3"/>
  <c r="E632" i="3"/>
  <c r="J631" i="3"/>
  <c r="J630" i="3" s="1"/>
  <c r="I631" i="3"/>
  <c r="F630" i="3"/>
  <c r="E630" i="3"/>
  <c r="J629" i="3"/>
  <c r="J628" i="3" s="1"/>
  <c r="I629" i="3"/>
  <c r="F628" i="3"/>
  <c r="E628" i="3"/>
  <c r="J659" i="3" l="1"/>
  <c r="J655" i="3" s="1"/>
  <c r="K651" i="3"/>
  <c r="K652" i="3"/>
  <c r="G657" i="3"/>
  <c r="G646" i="3"/>
  <c r="G650" i="3"/>
  <c r="K646" i="3"/>
  <c r="J650" i="3"/>
  <c r="K650" i="3" s="1"/>
  <c r="J657" i="3"/>
  <c r="K657" i="3" s="1"/>
  <c r="K638" i="3"/>
  <c r="K677" i="3"/>
  <c r="K660" i="3"/>
  <c r="I655" i="3"/>
  <c r="K656" i="3"/>
  <c r="K647" i="3"/>
  <c r="K648" i="3"/>
  <c r="K649" i="3"/>
  <c r="I639" i="3"/>
  <c r="K641" i="3"/>
  <c r="K642" i="3"/>
  <c r="K644" i="3"/>
  <c r="K643" i="3"/>
  <c r="K645" i="3"/>
  <c r="K640" i="3"/>
  <c r="I636" i="3"/>
  <c r="K636" i="3" s="1"/>
  <c r="K629" i="3"/>
  <c r="K631" i="3"/>
  <c r="K633" i="3"/>
  <c r="I630" i="3"/>
  <c r="K630" i="3" s="1"/>
  <c r="I628" i="3"/>
  <c r="K628" i="3" s="1"/>
  <c r="I632" i="3"/>
  <c r="K632" i="3" s="1"/>
  <c r="K634" i="3"/>
  <c r="K635" i="3"/>
  <c r="J419" i="3"/>
  <c r="J418" i="3" s="1"/>
  <c r="I419" i="3"/>
  <c r="J417" i="3"/>
  <c r="J416" i="3" s="1"/>
  <c r="I417" i="3"/>
  <c r="I416" i="3" s="1"/>
  <c r="F416" i="3"/>
  <c r="E416" i="3"/>
  <c r="J415" i="3"/>
  <c r="J414" i="3" s="1"/>
  <c r="I415" i="3"/>
  <c r="I414" i="3" s="1"/>
  <c r="J413" i="3"/>
  <c r="J412" i="3" s="1"/>
  <c r="I413" i="3"/>
  <c r="I412" i="3" s="1"/>
  <c r="J411" i="3"/>
  <c r="I411" i="3"/>
  <c r="I410" i="3" s="1"/>
  <c r="F410" i="3"/>
  <c r="E410" i="3"/>
  <c r="J409" i="3"/>
  <c r="I409" i="3"/>
  <c r="I408" i="3" s="1"/>
  <c r="F408" i="3"/>
  <c r="E408" i="3"/>
  <c r="J407" i="3"/>
  <c r="I407" i="3"/>
  <c r="I406" i="3" s="1"/>
  <c r="F406" i="3"/>
  <c r="E406" i="3"/>
  <c r="J405" i="3"/>
  <c r="I405" i="3"/>
  <c r="I404" i="3" s="1"/>
  <c r="F404" i="3"/>
  <c r="E404" i="3"/>
  <c r="J403" i="3"/>
  <c r="I403" i="3"/>
  <c r="I402" i="3" s="1"/>
  <c r="J401" i="3"/>
  <c r="I401" i="3"/>
  <c r="I400" i="3" s="1"/>
  <c r="G401" i="3"/>
  <c r="F400" i="3"/>
  <c r="E400" i="3"/>
  <c r="K659" i="3" l="1"/>
  <c r="G400" i="3"/>
  <c r="K655" i="3"/>
  <c r="K639" i="3"/>
  <c r="K419" i="3"/>
  <c r="I418" i="3"/>
  <c r="K418" i="3" s="1"/>
  <c r="K414" i="3"/>
  <c r="K416" i="3"/>
  <c r="K415" i="3"/>
  <c r="K417" i="3"/>
  <c r="K412" i="3"/>
  <c r="K413" i="3"/>
  <c r="K403" i="3"/>
  <c r="K405" i="3"/>
  <c r="K407" i="3"/>
  <c r="K409" i="3"/>
  <c r="K411" i="3"/>
  <c r="K401" i="3"/>
  <c r="J400" i="3"/>
  <c r="K400" i="3" s="1"/>
  <c r="J402" i="3"/>
  <c r="K402" i="3" s="1"/>
  <c r="J404" i="3"/>
  <c r="K404" i="3" s="1"/>
  <c r="J406" i="3"/>
  <c r="K406" i="3" s="1"/>
  <c r="J408" i="3"/>
  <c r="K408" i="3" s="1"/>
  <c r="J410" i="3"/>
  <c r="K410" i="3" s="1"/>
  <c r="J399" i="3"/>
  <c r="J398" i="3" s="1"/>
  <c r="I399" i="3"/>
  <c r="I398" i="3" s="1"/>
  <c r="J397" i="3"/>
  <c r="J396" i="3" s="1"/>
  <c r="I397" i="3"/>
  <c r="I396" i="3" s="1"/>
  <c r="J395" i="3"/>
  <c r="J394" i="3" s="1"/>
  <c r="I395" i="3"/>
  <c r="I394" i="3" s="1"/>
  <c r="J393" i="3"/>
  <c r="J392" i="3" s="1"/>
  <c r="I393" i="3"/>
  <c r="I392" i="3" s="1"/>
  <c r="G393" i="3"/>
  <c r="F392" i="3"/>
  <c r="E392" i="3"/>
  <c r="J391" i="3"/>
  <c r="J390" i="3" s="1"/>
  <c r="I391" i="3"/>
  <c r="G391" i="3"/>
  <c r="F390" i="3"/>
  <c r="E390" i="3"/>
  <c r="J389" i="3"/>
  <c r="I389" i="3"/>
  <c r="I388" i="3" s="1"/>
  <c r="J387" i="3"/>
  <c r="I387" i="3"/>
  <c r="K386" i="3"/>
  <c r="J384" i="3"/>
  <c r="J383" i="3" s="1"/>
  <c r="I384" i="3"/>
  <c r="G384" i="3"/>
  <c r="F383" i="3"/>
  <c r="E383" i="3"/>
  <c r="J382" i="3"/>
  <c r="J381" i="3" s="1"/>
  <c r="I382" i="3"/>
  <c r="I381" i="3" s="1"/>
  <c r="G382" i="3"/>
  <c r="F381" i="3"/>
  <c r="E381" i="3"/>
  <c r="J380" i="3"/>
  <c r="J379" i="3" s="1"/>
  <c r="I380" i="3"/>
  <c r="G380" i="3"/>
  <c r="F379" i="3"/>
  <c r="E379" i="3"/>
  <c r="G392" i="3" l="1"/>
  <c r="G379" i="3"/>
  <c r="G390" i="3"/>
  <c r="G381" i="3"/>
  <c r="K396" i="3"/>
  <c r="K391" i="3"/>
  <c r="K397" i="3"/>
  <c r="K398" i="3"/>
  <c r="K394" i="3"/>
  <c r="K395" i="3"/>
  <c r="K399" i="3"/>
  <c r="G383" i="3"/>
  <c r="K389" i="3"/>
  <c r="K392" i="3"/>
  <c r="I390" i="3"/>
  <c r="K390" i="3" s="1"/>
  <c r="J388" i="3"/>
  <c r="K388" i="3" s="1"/>
  <c r="K393" i="3"/>
  <c r="K384" i="3"/>
  <c r="K380" i="3"/>
  <c r="K387" i="3"/>
  <c r="K382" i="3"/>
  <c r="K381" i="3"/>
  <c r="I379" i="3"/>
  <c r="K379" i="3" s="1"/>
  <c r="I383" i="3"/>
  <c r="K383" i="3" s="1"/>
  <c r="J627" i="3"/>
  <c r="J626" i="3" s="1"/>
  <c r="I627" i="3"/>
  <c r="I626" i="3" s="1"/>
  <c r="F626" i="3"/>
  <c r="E626" i="3"/>
  <c r="J625" i="3"/>
  <c r="J624" i="3" s="1"/>
  <c r="I625" i="3"/>
  <c r="I624" i="3" s="1"/>
  <c r="F624" i="3"/>
  <c r="E624" i="3"/>
  <c r="J623" i="3"/>
  <c r="J622" i="3" s="1"/>
  <c r="I623" i="3"/>
  <c r="I622" i="3" s="1"/>
  <c r="F622" i="3"/>
  <c r="E622" i="3"/>
  <c r="J620" i="3"/>
  <c r="I620" i="3"/>
  <c r="G621" i="3"/>
  <c r="F620" i="3"/>
  <c r="E620" i="3"/>
  <c r="J618" i="3"/>
  <c r="I618" i="3"/>
  <c r="G619" i="3"/>
  <c r="F618" i="3"/>
  <c r="E618" i="3"/>
  <c r="J617" i="3"/>
  <c r="J616" i="3" s="1"/>
  <c r="I617" i="3"/>
  <c r="I616" i="3" s="1"/>
  <c r="F616" i="3"/>
  <c r="E616" i="3"/>
  <c r="J615" i="3"/>
  <c r="J614" i="3" s="1"/>
  <c r="I615" i="3"/>
  <c r="I614" i="3" s="1"/>
  <c r="F614" i="3"/>
  <c r="E614" i="3"/>
  <c r="J613" i="3"/>
  <c r="J612" i="3" s="1"/>
  <c r="I613" i="3"/>
  <c r="I612" i="3" s="1"/>
  <c r="F612" i="3"/>
  <c r="E612" i="3"/>
  <c r="J378" i="3"/>
  <c r="J377" i="3" s="1"/>
  <c r="I378" i="3"/>
  <c r="I377" i="3" s="1"/>
  <c r="J376" i="3"/>
  <c r="I376" i="3"/>
  <c r="I375" i="3" s="1"/>
  <c r="J374" i="3"/>
  <c r="J373" i="3" s="1"/>
  <c r="I374" i="3"/>
  <c r="I373" i="3" s="1"/>
  <c r="J372" i="3"/>
  <c r="I372" i="3"/>
  <c r="I371" i="3" s="1"/>
  <c r="J370" i="3"/>
  <c r="J369" i="3" s="1"/>
  <c r="I370" i="3"/>
  <c r="I369" i="3" s="1"/>
  <c r="G618" i="3" l="1"/>
  <c r="G620" i="3"/>
  <c r="K622" i="3"/>
  <c r="K626" i="3"/>
  <c r="K623" i="3"/>
  <c r="K618" i="3"/>
  <c r="K624" i="3"/>
  <c r="K627" i="3"/>
  <c r="K625" i="3"/>
  <c r="K619" i="3"/>
  <c r="K620" i="3"/>
  <c r="K621" i="3"/>
  <c r="K373" i="3"/>
  <c r="K376" i="3"/>
  <c r="K615" i="3"/>
  <c r="K616" i="3"/>
  <c r="K377" i="3"/>
  <c r="K612" i="3"/>
  <c r="K617" i="3"/>
  <c r="K374" i="3"/>
  <c r="K378" i="3"/>
  <c r="K613" i="3"/>
  <c r="K614" i="3"/>
  <c r="J375" i="3"/>
  <c r="K375" i="3" s="1"/>
  <c r="K372" i="3"/>
  <c r="K369" i="3"/>
  <c r="K370" i="3"/>
  <c r="J371" i="3"/>
  <c r="K371" i="3" s="1"/>
  <c r="J368" i="3"/>
  <c r="J367" i="3" s="1"/>
  <c r="I368" i="3"/>
  <c r="I367" i="3" s="1"/>
  <c r="F367" i="3"/>
  <c r="E367" i="3"/>
  <c r="J364" i="3"/>
  <c r="I364" i="3"/>
  <c r="I363" i="3" s="1"/>
  <c r="F363" i="3"/>
  <c r="E363" i="3"/>
  <c r="J362" i="3"/>
  <c r="I362" i="3"/>
  <c r="I361" i="3" s="1"/>
  <c r="J360" i="3"/>
  <c r="J359" i="3" s="1"/>
  <c r="I360" i="3"/>
  <c r="I359" i="3" s="1"/>
  <c r="J358" i="3"/>
  <c r="I358" i="3"/>
  <c r="I357" i="3" s="1"/>
  <c r="F357" i="3"/>
  <c r="E357" i="3"/>
  <c r="K364" i="3" l="1"/>
  <c r="K367" i="3"/>
  <c r="K368" i="3"/>
  <c r="K359" i="3"/>
  <c r="K358" i="3"/>
  <c r="K362" i="3"/>
  <c r="K360" i="3"/>
  <c r="J357" i="3"/>
  <c r="K357" i="3" s="1"/>
  <c r="J361" i="3"/>
  <c r="K361" i="3" s="1"/>
  <c r="J363" i="3"/>
  <c r="K363" i="3" s="1"/>
  <c r="J355" i="3"/>
  <c r="I355" i="3"/>
  <c r="I354" i="3" s="1"/>
  <c r="F354" i="3"/>
  <c r="E354" i="3"/>
  <c r="J353" i="3"/>
  <c r="I353" i="3"/>
  <c r="I352" i="3" s="1"/>
  <c r="F352" i="3"/>
  <c r="E352" i="3"/>
  <c r="J351" i="3"/>
  <c r="I351" i="3"/>
  <c r="I350" i="3" s="1"/>
  <c r="F350" i="3"/>
  <c r="E350" i="3"/>
  <c r="J349" i="3"/>
  <c r="I349" i="3"/>
  <c r="J347" i="3"/>
  <c r="J346" i="3" s="1"/>
  <c r="I347" i="3"/>
  <c r="J345" i="3"/>
  <c r="J344" i="3" s="1"/>
  <c r="I345" i="3"/>
  <c r="I344" i="3" s="1"/>
  <c r="J343" i="3"/>
  <c r="J342" i="3" s="1"/>
  <c r="I343" i="3"/>
  <c r="I342" i="3" s="1"/>
  <c r="J341" i="3"/>
  <c r="I341" i="3"/>
  <c r="J340" i="3"/>
  <c r="J339" i="3" s="1"/>
  <c r="I340" i="3"/>
  <c r="I339" i="3" s="1"/>
  <c r="F339" i="3"/>
  <c r="E339" i="3"/>
  <c r="J337" i="3"/>
  <c r="J336" i="3" s="1"/>
  <c r="I337" i="3"/>
  <c r="I336" i="3" s="1"/>
  <c r="F336" i="3"/>
  <c r="E336" i="3"/>
  <c r="J335" i="3"/>
  <c r="J334" i="3" s="1"/>
  <c r="I335" i="3"/>
  <c r="F334" i="3"/>
  <c r="E334" i="3"/>
  <c r="J333" i="3"/>
  <c r="I333" i="3"/>
  <c r="J460" i="3" l="1"/>
  <c r="J685" i="3" s="1"/>
  <c r="I460" i="3"/>
  <c r="I685" i="3" s="1"/>
  <c r="I348" i="3"/>
  <c r="I459" i="3"/>
  <c r="I683" i="3" s="1"/>
  <c r="J459" i="3"/>
  <c r="J683" i="3" s="1"/>
  <c r="J332" i="3"/>
  <c r="I332" i="3"/>
  <c r="K347" i="3"/>
  <c r="K355" i="3"/>
  <c r="K349" i="3"/>
  <c r="K351" i="3"/>
  <c r="K353" i="3"/>
  <c r="J348" i="3"/>
  <c r="J350" i="3"/>
  <c r="K350" i="3" s="1"/>
  <c r="J352" i="3"/>
  <c r="K352" i="3" s="1"/>
  <c r="J354" i="3"/>
  <c r="K354" i="3" s="1"/>
  <c r="I346" i="3"/>
  <c r="K346" i="3" s="1"/>
  <c r="K344" i="3"/>
  <c r="K345" i="3"/>
  <c r="K342" i="3"/>
  <c r="K343" i="3"/>
  <c r="K337" i="3"/>
  <c r="K341" i="3"/>
  <c r="K335" i="3"/>
  <c r="I334" i="3"/>
  <c r="K334" i="3" s="1"/>
  <c r="K333" i="3"/>
  <c r="K340" i="3"/>
  <c r="K339" i="3"/>
  <c r="K336" i="3"/>
  <c r="J773" i="3"/>
  <c r="J611" i="3"/>
  <c r="J610" i="3" s="1"/>
  <c r="I611" i="3"/>
  <c r="I610" i="3" s="1"/>
  <c r="G611" i="3"/>
  <c r="F610" i="3"/>
  <c r="E610" i="3"/>
  <c r="J609" i="3"/>
  <c r="J608" i="3" s="1"/>
  <c r="I609" i="3"/>
  <c r="I608" i="3" s="1"/>
  <c r="G609" i="3"/>
  <c r="F608" i="3"/>
  <c r="E608" i="3"/>
  <c r="J607" i="3"/>
  <c r="I607" i="3"/>
  <c r="I606" i="3" s="1"/>
  <c r="I605" i="3"/>
  <c r="I604" i="3" s="1"/>
  <c r="J604" i="3"/>
  <c r="F604" i="3"/>
  <c r="E604" i="3"/>
  <c r="I603" i="3"/>
  <c r="I602" i="3" s="1"/>
  <c r="J602" i="3"/>
  <c r="F602" i="3"/>
  <c r="E602" i="3"/>
  <c r="J601" i="3"/>
  <c r="J600" i="3" s="1"/>
  <c r="I601" i="3"/>
  <c r="I600" i="3" s="1"/>
  <c r="J599" i="3"/>
  <c r="J598" i="3" s="1"/>
  <c r="I599" i="3"/>
  <c r="I598" i="3" s="1"/>
  <c r="G599" i="3"/>
  <c r="F598" i="3"/>
  <c r="E598" i="3"/>
  <c r="J597" i="3"/>
  <c r="J596" i="3" s="1"/>
  <c r="I597" i="3"/>
  <c r="I596" i="3" s="1"/>
  <c r="G597" i="3"/>
  <c r="F596" i="3"/>
  <c r="E596" i="3"/>
  <c r="K348" i="3" l="1"/>
  <c r="K683" i="3"/>
  <c r="K332" i="3"/>
  <c r="G596" i="3"/>
  <c r="G598" i="3"/>
  <c r="K610" i="3"/>
  <c r="K598" i="3"/>
  <c r="G608" i="3"/>
  <c r="K608" i="3"/>
  <c r="K596" i="3"/>
  <c r="G610" i="3"/>
  <c r="K597" i="3"/>
  <c r="K599" i="3"/>
  <c r="K609" i="3"/>
  <c r="K611" i="3"/>
  <c r="K607" i="3"/>
  <c r="J606" i="3"/>
  <c r="K606" i="3" s="1"/>
  <c r="K600" i="3"/>
  <c r="K601" i="3"/>
  <c r="J576" i="3"/>
  <c r="I576" i="3"/>
  <c r="J577" i="3"/>
  <c r="I577" i="3"/>
  <c r="J569" i="3"/>
  <c r="I569" i="3"/>
  <c r="J570" i="3"/>
  <c r="I570" i="3"/>
  <c r="J564" i="3"/>
  <c r="I565" i="3"/>
  <c r="I564" i="3" s="1"/>
  <c r="F564" i="3"/>
  <c r="E564" i="3"/>
  <c r="J562" i="3"/>
  <c r="I563" i="3"/>
  <c r="I562" i="3" s="1"/>
  <c r="F562" i="3"/>
  <c r="E562" i="3"/>
  <c r="I560" i="3"/>
  <c r="F560" i="3"/>
  <c r="E560" i="3"/>
  <c r="J557" i="3"/>
  <c r="I557" i="3"/>
  <c r="J556" i="3"/>
  <c r="I556" i="3"/>
  <c r="F554" i="3"/>
  <c r="F553" i="3" s="1"/>
  <c r="E554" i="3"/>
  <c r="E553" i="3" s="1"/>
  <c r="I551" i="3"/>
  <c r="J550" i="3"/>
  <c r="I550" i="3"/>
  <c r="J549" i="3"/>
  <c r="I549" i="3"/>
  <c r="E547" i="3"/>
  <c r="J545" i="3"/>
  <c r="I545" i="3"/>
  <c r="J544" i="3"/>
  <c r="I544" i="3"/>
  <c r="E542" i="3"/>
  <c r="J540" i="3"/>
  <c r="I540" i="3"/>
  <c r="J539" i="3"/>
  <c r="I539" i="3"/>
  <c r="E537" i="3"/>
  <c r="J327" i="3"/>
  <c r="J326" i="3" s="1"/>
  <c r="I327" i="3"/>
  <c r="F326" i="3"/>
  <c r="E326" i="3"/>
  <c r="J325" i="3"/>
  <c r="J324" i="3" s="1"/>
  <c r="I325" i="3"/>
  <c r="I324" i="3" s="1"/>
  <c r="J595" i="3"/>
  <c r="F593" i="3"/>
  <c r="E593" i="3"/>
  <c r="F600" i="3"/>
  <c r="J594" i="3"/>
  <c r="J593" i="3" s="1"/>
  <c r="I594" i="3"/>
  <c r="I593" i="3" s="1"/>
  <c r="J592" i="3"/>
  <c r="F590" i="3"/>
  <c r="E590" i="3"/>
  <c r="J591" i="3"/>
  <c r="I591" i="3"/>
  <c r="J589" i="3"/>
  <c r="J588" i="3" s="1"/>
  <c r="I589" i="3"/>
  <c r="I588" i="3" s="1"/>
  <c r="G589" i="3"/>
  <c r="F588" i="3"/>
  <c r="E588" i="3"/>
  <c r="J587" i="3"/>
  <c r="I587" i="3"/>
  <c r="I586" i="3" s="1"/>
  <c r="G587" i="3"/>
  <c r="F586" i="3"/>
  <c r="E586" i="3"/>
  <c r="J585" i="3"/>
  <c r="J584" i="3" s="1"/>
  <c r="I585" i="3"/>
  <c r="I584" i="3" s="1"/>
  <c r="F584" i="3"/>
  <c r="E584" i="3"/>
  <c r="I583" i="3"/>
  <c r="I582" i="3" s="1"/>
  <c r="F582" i="3"/>
  <c r="E582" i="3"/>
  <c r="E580" i="3"/>
  <c r="I581" i="3"/>
  <c r="I580" i="3" s="1"/>
  <c r="F580" i="3"/>
  <c r="J579" i="3"/>
  <c r="I579" i="3"/>
  <c r="F578" i="3"/>
  <c r="E578" i="3"/>
  <c r="J537" i="3" l="1"/>
  <c r="I542" i="3"/>
  <c r="I541" i="3" s="1"/>
  <c r="I554" i="3"/>
  <c r="I553" i="3" s="1"/>
  <c r="J542" i="3"/>
  <c r="J541" i="3" s="1"/>
  <c r="I547" i="3"/>
  <c r="J554" i="3"/>
  <c r="J553" i="3" s="1"/>
  <c r="I567" i="3"/>
  <c r="I574" i="3"/>
  <c r="I573" i="3" s="1"/>
  <c r="J547" i="3"/>
  <c r="J567" i="3"/>
  <c r="J574" i="3"/>
  <c r="I537" i="3"/>
  <c r="I676" i="3"/>
  <c r="J676" i="3"/>
  <c r="I578" i="3"/>
  <c r="J578" i="3"/>
  <c r="G586" i="3"/>
  <c r="K587" i="3"/>
  <c r="G588" i="3"/>
  <c r="J586" i="3"/>
  <c r="K586" i="3" s="1"/>
  <c r="K562" i="3"/>
  <c r="K556" i="3"/>
  <c r="K570" i="3"/>
  <c r="K561" i="3"/>
  <c r="J573" i="3"/>
  <c r="J560" i="3"/>
  <c r="K560" i="3" s="1"/>
  <c r="K569" i="3"/>
  <c r="K564" i="3"/>
  <c r="K552" i="3"/>
  <c r="K563" i="3"/>
  <c r="K565" i="3"/>
  <c r="J551" i="3"/>
  <c r="K551" i="3" s="1"/>
  <c r="K549" i="3"/>
  <c r="I546" i="3"/>
  <c r="K544" i="3"/>
  <c r="J546" i="3"/>
  <c r="K327" i="3"/>
  <c r="K324" i="3"/>
  <c r="K539" i="3"/>
  <c r="K325" i="3"/>
  <c r="I326" i="3"/>
  <c r="K326" i="3" s="1"/>
  <c r="J590" i="3"/>
  <c r="K588" i="3"/>
  <c r="K591" i="3"/>
  <c r="K593" i="3"/>
  <c r="K594" i="3"/>
  <c r="K589" i="3"/>
  <c r="I590" i="3"/>
  <c r="K583" i="3"/>
  <c r="K581" i="3"/>
  <c r="J582" i="3"/>
  <c r="K582" i="3" s="1"/>
  <c r="K585" i="3"/>
  <c r="K584" i="3"/>
  <c r="K579" i="3"/>
  <c r="J580" i="3"/>
  <c r="K580" i="3" s="1"/>
  <c r="K578" i="3" l="1"/>
  <c r="K676" i="3"/>
  <c r="I536" i="3"/>
  <c r="J536" i="3"/>
  <c r="K553" i="3"/>
  <c r="K573" i="3"/>
  <c r="K574" i="3"/>
  <c r="K554" i="3"/>
  <c r="K566" i="3"/>
  <c r="K567" i="3"/>
  <c r="K546" i="3"/>
  <c r="K541" i="3"/>
  <c r="K547" i="3"/>
  <c r="K537" i="3"/>
  <c r="K542" i="3"/>
  <c r="K590" i="3"/>
  <c r="K536" i="3" l="1"/>
  <c r="J977" i="3"/>
  <c r="J975" i="3"/>
  <c r="J974" i="3"/>
  <c r="F972" i="3"/>
  <c r="J970" i="3"/>
  <c r="J972" i="3" l="1"/>
  <c r="E170" i="3"/>
  <c r="F170" i="3"/>
  <c r="F119" i="3"/>
  <c r="E119" i="3"/>
  <c r="F117" i="3"/>
  <c r="E117" i="3"/>
  <c r="F115" i="3"/>
  <c r="E115" i="3"/>
  <c r="F110" i="3"/>
  <c r="E110" i="3"/>
  <c r="F103" i="3"/>
  <c r="E103" i="3"/>
  <c r="F96" i="3"/>
  <c r="E96" i="3"/>
  <c r="F89" i="3"/>
  <c r="E89" i="3"/>
  <c r="K91" i="3"/>
  <c r="K94" i="3"/>
  <c r="G951" i="3" l="1"/>
  <c r="G952" i="3"/>
  <c r="G945" i="3"/>
  <c r="K454" i="3"/>
  <c r="J453" i="3"/>
  <c r="I453" i="3"/>
  <c r="G454" i="3"/>
  <c r="F453" i="3"/>
  <c r="E453" i="3"/>
  <c r="K456" i="3"/>
  <c r="J455" i="3"/>
  <c r="I455" i="3"/>
  <c r="K452" i="3"/>
  <c r="J451" i="3"/>
  <c r="I451" i="3"/>
  <c r="K451" i="3" l="1"/>
  <c r="K455" i="3"/>
  <c r="K453" i="3"/>
  <c r="G453" i="3"/>
  <c r="K459" i="3" l="1"/>
  <c r="J289" i="3"/>
  <c r="I289" i="3"/>
  <c r="J288" i="3"/>
  <c r="I288" i="3"/>
  <c r="E286" i="3"/>
  <c r="J282" i="3"/>
  <c r="J281" i="3" s="1"/>
  <c r="I282" i="3"/>
  <c r="I281" i="3" s="1"/>
  <c r="J279" i="3"/>
  <c r="I280" i="3"/>
  <c r="I279" i="3" s="1"/>
  <c r="J278" i="3"/>
  <c r="I278" i="3"/>
  <c r="I277" i="3" s="1"/>
  <c r="F277" i="3"/>
  <c r="E277" i="3"/>
  <c r="J276" i="3"/>
  <c r="J275" i="3" s="1"/>
  <c r="I276" i="3"/>
  <c r="I275" i="3" s="1"/>
  <c r="J274" i="3"/>
  <c r="I274" i="3"/>
  <c r="J273" i="3"/>
  <c r="I273" i="3"/>
  <c r="J269" i="3"/>
  <c r="J268" i="3" s="1"/>
  <c r="I269" i="3"/>
  <c r="I268" i="3" s="1"/>
  <c r="K289" i="3" l="1"/>
  <c r="I271" i="3"/>
  <c r="I270" i="3" s="1"/>
  <c r="I286" i="3"/>
  <c r="I284" i="3" s="1"/>
  <c r="I283" i="3" s="1"/>
  <c r="K273" i="3"/>
  <c r="J286" i="3"/>
  <c r="J284" i="3" s="1"/>
  <c r="K274" i="3"/>
  <c r="K288" i="3"/>
  <c r="K279" i="3"/>
  <c r="K281" i="3"/>
  <c r="K282" i="3"/>
  <c r="K280" i="3"/>
  <c r="K278" i="3"/>
  <c r="J277" i="3"/>
  <c r="K277" i="3" s="1"/>
  <c r="K275" i="3"/>
  <c r="K276" i="3"/>
  <c r="K269" i="3"/>
  <c r="J271" i="3"/>
  <c r="K268" i="3"/>
  <c r="I267" i="3"/>
  <c r="I266" i="3" s="1"/>
  <c r="J266" i="3"/>
  <c r="F266" i="3"/>
  <c r="E266" i="3"/>
  <c r="K286" i="3" l="1"/>
  <c r="K266" i="3"/>
  <c r="J283" i="3"/>
  <c r="K283" i="3" s="1"/>
  <c r="K284" i="3"/>
  <c r="J270" i="3"/>
  <c r="K270" i="3" s="1"/>
  <c r="K271" i="3"/>
  <c r="K267" i="3"/>
  <c r="I265" i="3"/>
  <c r="I264" i="3" s="1"/>
  <c r="E264" i="3"/>
  <c r="J263" i="3"/>
  <c r="J262" i="3" s="1"/>
  <c r="I263" i="3"/>
  <c r="I262" i="3" s="1"/>
  <c r="J261" i="3"/>
  <c r="J260" i="3" s="1"/>
  <c r="I261" i="3"/>
  <c r="I260" i="3" s="1"/>
  <c r="F260" i="3"/>
  <c r="E260" i="3"/>
  <c r="J259" i="3"/>
  <c r="J258" i="3" s="1"/>
  <c r="I259" i="3"/>
  <c r="I258" i="3" s="1"/>
  <c r="J257" i="3"/>
  <c r="I257" i="3"/>
  <c r="I256" i="3" s="1"/>
  <c r="J255" i="3"/>
  <c r="J254" i="3" s="1"/>
  <c r="I255" i="3"/>
  <c r="I254" i="3" s="1"/>
  <c r="J253" i="3"/>
  <c r="I253" i="3"/>
  <c r="I252" i="3" s="1"/>
  <c r="F252" i="3"/>
  <c r="E252" i="3"/>
  <c r="J251" i="3"/>
  <c r="I251" i="3"/>
  <c r="F250" i="3"/>
  <c r="E250" i="3"/>
  <c r="I250" i="3" l="1"/>
  <c r="J250" i="3"/>
  <c r="K262" i="3"/>
  <c r="K258" i="3"/>
  <c r="K257" i="3"/>
  <c r="K260" i="3"/>
  <c r="J256" i="3"/>
  <c r="K256" i="3" s="1"/>
  <c r="K259" i="3"/>
  <c r="K263" i="3"/>
  <c r="K261" i="3"/>
  <c r="K254" i="3"/>
  <c r="K251" i="3"/>
  <c r="K253" i="3"/>
  <c r="J252" i="3"/>
  <c r="K252" i="3" s="1"/>
  <c r="K255" i="3"/>
  <c r="F1014" i="3"/>
  <c r="F1013" i="3"/>
  <c r="J1005" i="3"/>
  <c r="J1004" i="3"/>
  <c r="J1003" i="3"/>
  <c r="J1002" i="3"/>
  <c r="J1001" i="3"/>
  <c r="J1000" i="3"/>
  <c r="J999" i="3"/>
  <c r="I1000" i="3"/>
  <c r="I1001" i="3"/>
  <c r="I1002" i="3"/>
  <c r="I1003" i="3"/>
  <c r="K1003" i="3" s="1"/>
  <c r="I1004" i="3"/>
  <c r="I1005" i="3"/>
  <c r="I999" i="3"/>
  <c r="J996" i="3"/>
  <c r="J995" i="3" s="1"/>
  <c r="I996" i="3"/>
  <c r="J994" i="3"/>
  <c r="J993" i="3" s="1"/>
  <c r="I994" i="3"/>
  <c r="I993" i="3" s="1"/>
  <c r="J992" i="3"/>
  <c r="J991" i="3" s="1"/>
  <c r="I992" i="3"/>
  <c r="I991" i="3" s="1"/>
  <c r="J990" i="3"/>
  <c r="J989" i="3" s="1"/>
  <c r="J988" i="3"/>
  <c r="I990" i="3"/>
  <c r="I989" i="3" s="1"/>
  <c r="I988" i="3"/>
  <c r="I987" i="3" s="1"/>
  <c r="J982" i="3"/>
  <c r="F982" i="3"/>
  <c r="E983" i="3"/>
  <c r="G983" i="3" s="1"/>
  <c r="E984" i="3"/>
  <c r="I984" i="3" s="1"/>
  <c r="I981" i="3"/>
  <c r="I980" i="3" s="1"/>
  <c r="G981" i="3"/>
  <c r="J980" i="3"/>
  <c r="F980" i="3"/>
  <c r="E980" i="3"/>
  <c r="I979" i="3"/>
  <c r="I978" i="3" s="1"/>
  <c r="G979" i="3"/>
  <c r="J978" i="3"/>
  <c r="F978" i="3"/>
  <c r="E978" i="3"/>
  <c r="I977" i="3"/>
  <c r="I976" i="3" s="1"/>
  <c r="J976" i="3"/>
  <c r="G977" i="3"/>
  <c r="F976" i="3"/>
  <c r="E976" i="3"/>
  <c r="I975" i="3"/>
  <c r="K975" i="3" s="1"/>
  <c r="I974" i="3"/>
  <c r="J971" i="3"/>
  <c r="G974" i="3"/>
  <c r="G975" i="3"/>
  <c r="F971" i="3"/>
  <c r="E972" i="3"/>
  <c r="E971" i="3" s="1"/>
  <c r="I970" i="3"/>
  <c r="I969" i="3" s="1"/>
  <c r="J969" i="3"/>
  <c r="G970" i="3"/>
  <c r="F969" i="3"/>
  <c r="E969" i="3"/>
  <c r="K984" i="3" l="1"/>
  <c r="I1014" i="3"/>
  <c r="K1014" i="3" s="1"/>
  <c r="K250" i="3"/>
  <c r="E1013" i="3"/>
  <c r="G1013" i="3" s="1"/>
  <c r="E1014" i="3"/>
  <c r="G1014" i="3" s="1"/>
  <c r="G978" i="3"/>
  <c r="K1005" i="3"/>
  <c r="K999" i="3"/>
  <c r="G976" i="3"/>
  <c r="K996" i="3"/>
  <c r="K1002" i="3"/>
  <c r="K976" i="3"/>
  <c r="I998" i="3"/>
  <c r="I997" i="3" s="1"/>
  <c r="K988" i="3"/>
  <c r="J1007" i="3"/>
  <c r="J987" i="3"/>
  <c r="K992" i="3"/>
  <c r="I995" i="3"/>
  <c r="I1007" i="3"/>
  <c r="K1004" i="3"/>
  <c r="J998" i="3"/>
  <c r="K1000" i="3"/>
  <c r="K1001" i="3"/>
  <c r="K994" i="3"/>
  <c r="K990" i="3"/>
  <c r="G969" i="3"/>
  <c r="K970" i="3"/>
  <c r="K969" i="3"/>
  <c r="G984" i="3"/>
  <c r="G971" i="3"/>
  <c r="K979" i="3"/>
  <c r="I972" i="3"/>
  <c r="I971" i="3" s="1"/>
  <c r="K971" i="3" s="1"/>
  <c r="K977" i="3"/>
  <c r="K978" i="3"/>
  <c r="G980" i="3"/>
  <c r="E982" i="3"/>
  <c r="G982" i="3" s="1"/>
  <c r="G972" i="3"/>
  <c r="K974" i="3"/>
  <c r="K980" i="3"/>
  <c r="I983" i="3"/>
  <c r="I1013" i="3" s="1"/>
  <c r="K981" i="3"/>
  <c r="J866" i="3"/>
  <c r="J865" i="3" s="1"/>
  <c r="J864" i="3"/>
  <c r="J863" i="3" s="1"/>
  <c r="J862" i="3"/>
  <c r="J861" i="3" s="1"/>
  <c r="J860" i="3"/>
  <c r="I862" i="3"/>
  <c r="E875" i="3"/>
  <c r="E869" i="3"/>
  <c r="I963" i="3"/>
  <c r="K963" i="3" s="1"/>
  <c r="J962" i="3"/>
  <c r="J961" i="3" s="1"/>
  <c r="G963" i="3"/>
  <c r="F962" i="3"/>
  <c r="F961" i="3" s="1"/>
  <c r="E962" i="3"/>
  <c r="E965" i="3"/>
  <c r="J960" i="3"/>
  <c r="J959" i="3"/>
  <c r="J958" i="3"/>
  <c r="J957" i="3"/>
  <c r="J956" i="3"/>
  <c r="J955" i="3"/>
  <c r="J954" i="3" s="1"/>
  <c r="I956" i="3"/>
  <c r="I957" i="3"/>
  <c r="I958" i="3"/>
  <c r="I959" i="3"/>
  <c r="I960" i="3"/>
  <c r="I955" i="3"/>
  <c r="J952" i="3"/>
  <c r="I952" i="3"/>
  <c r="J951" i="3"/>
  <c r="I951" i="3"/>
  <c r="J948" i="3"/>
  <c r="I948" i="3"/>
  <c r="I947" i="3" s="1"/>
  <c r="I946" i="3" s="1"/>
  <c r="J945" i="3"/>
  <c r="I945" i="3"/>
  <c r="J944" i="3"/>
  <c r="J943" i="3" s="1"/>
  <c r="I944" i="3"/>
  <c r="J941" i="3"/>
  <c r="J940" i="3"/>
  <c r="J939" i="3"/>
  <c r="J938" i="3"/>
  <c r="J937" i="3"/>
  <c r="J936" i="3"/>
  <c r="I941" i="3"/>
  <c r="I940" i="3"/>
  <c r="I939" i="3"/>
  <c r="I938" i="3"/>
  <c r="I937" i="3"/>
  <c r="I936" i="3"/>
  <c r="J935" i="3"/>
  <c r="I935" i="3"/>
  <c r="J932" i="3"/>
  <c r="I932" i="3"/>
  <c r="J931" i="3"/>
  <c r="I931" i="3"/>
  <c r="J930" i="3"/>
  <c r="I930" i="3"/>
  <c r="J929" i="3"/>
  <c r="I929" i="3"/>
  <c r="J928" i="3"/>
  <c r="I928" i="3"/>
  <c r="J927" i="3"/>
  <c r="I927" i="3"/>
  <c r="J926" i="3"/>
  <c r="J925" i="3" s="1"/>
  <c r="I926" i="3"/>
  <c r="J923" i="3"/>
  <c r="I923" i="3"/>
  <c r="I922" i="3"/>
  <c r="F918" i="3"/>
  <c r="E918" i="3"/>
  <c r="J921" i="3"/>
  <c r="I921" i="3"/>
  <c r="J920" i="3"/>
  <c r="I920" i="3"/>
  <c r="J919" i="3"/>
  <c r="I919" i="3"/>
  <c r="J916" i="3"/>
  <c r="J915" i="3" s="1"/>
  <c r="I916" i="3"/>
  <c r="I915" i="3" s="1"/>
  <c r="I914" i="3" s="1"/>
  <c r="G916" i="3"/>
  <c r="F915" i="3"/>
  <c r="F914" i="3" s="1"/>
  <c r="E915" i="3"/>
  <c r="E914" i="3" s="1"/>
  <c r="F911" i="3"/>
  <c r="E911" i="3"/>
  <c r="J912" i="3"/>
  <c r="J913" i="3"/>
  <c r="I913" i="3"/>
  <c r="I912" i="3"/>
  <c r="J909" i="3"/>
  <c r="I909" i="3"/>
  <c r="J908" i="3"/>
  <c r="I908" i="3"/>
  <c r="J907" i="3"/>
  <c r="I907" i="3"/>
  <c r="J906" i="3"/>
  <c r="I906" i="3"/>
  <c r="J905" i="3"/>
  <c r="J904" i="3" s="1"/>
  <c r="I905" i="3"/>
  <c r="I904" i="3" s="1"/>
  <c r="F904" i="3"/>
  <c r="E904" i="3"/>
  <c r="G909" i="3"/>
  <c r="G908" i="3"/>
  <c r="G907" i="3"/>
  <c r="J896" i="3"/>
  <c r="J897" i="3"/>
  <c r="J898" i="3"/>
  <c r="J899" i="3"/>
  <c r="J900" i="3"/>
  <c r="J901" i="3"/>
  <c r="J902" i="3"/>
  <c r="I902" i="3"/>
  <c r="I901" i="3"/>
  <c r="I900" i="3"/>
  <c r="I899" i="3"/>
  <c r="I898" i="3"/>
  <c r="I897" i="3"/>
  <c r="I896" i="3"/>
  <c r="J889" i="3"/>
  <c r="J890" i="3"/>
  <c r="J891" i="3"/>
  <c r="J892" i="3"/>
  <c r="J893" i="3"/>
  <c r="I889" i="3"/>
  <c r="I890" i="3"/>
  <c r="I891" i="3"/>
  <c r="I892" i="3"/>
  <c r="I893" i="3"/>
  <c r="J888" i="3"/>
  <c r="I888" i="3"/>
  <c r="J887" i="3"/>
  <c r="J886" i="3" s="1"/>
  <c r="J884" i="3"/>
  <c r="J883" i="3"/>
  <c r="J882" i="3"/>
  <c r="J881" i="3"/>
  <c r="J872" i="3" s="1"/>
  <c r="J880" i="3"/>
  <c r="J879" i="3"/>
  <c r="J878" i="3"/>
  <c r="I879" i="3"/>
  <c r="I870" i="3" s="1"/>
  <c r="I880" i="3"/>
  <c r="I881" i="3"/>
  <c r="I882" i="3"/>
  <c r="I883" i="3"/>
  <c r="I874" i="3" s="1"/>
  <c r="I884" i="3"/>
  <c r="I878" i="3"/>
  <c r="I866" i="3"/>
  <c r="I865" i="3" s="1"/>
  <c r="F865" i="3"/>
  <c r="E865" i="3"/>
  <c r="I864" i="3"/>
  <c r="I863" i="3" s="1"/>
  <c r="F863" i="3"/>
  <c r="E863" i="3"/>
  <c r="F861" i="3"/>
  <c r="E861" i="3"/>
  <c r="I860" i="3"/>
  <c r="I965" i="3" s="1"/>
  <c r="F859" i="3"/>
  <c r="E859" i="3"/>
  <c r="I873" i="3" l="1"/>
  <c r="J873" i="3"/>
  <c r="I895" i="3"/>
  <c r="J946" i="3"/>
  <c r="K946" i="3" s="1"/>
  <c r="J947" i="3"/>
  <c r="I869" i="3"/>
  <c r="I877" i="3"/>
  <c r="I872" i="3"/>
  <c r="J870" i="3"/>
  <c r="J874" i="3"/>
  <c r="J895" i="3"/>
  <c r="J894" i="3" s="1"/>
  <c r="J918" i="3"/>
  <c r="J869" i="3"/>
  <c r="J877" i="3"/>
  <c r="I886" i="3"/>
  <c r="I885" i="3" s="1"/>
  <c r="J911" i="3"/>
  <c r="I875" i="3"/>
  <c r="I871" i="3"/>
  <c r="J871" i="3"/>
  <c r="J875" i="3"/>
  <c r="J934" i="3"/>
  <c r="J950" i="3"/>
  <c r="J965" i="3"/>
  <c r="I982" i="3"/>
  <c r="K982" i="3" s="1"/>
  <c r="K1013" i="3"/>
  <c r="G914" i="3"/>
  <c r="G915" i="3"/>
  <c r="I1008" i="3"/>
  <c r="K1007" i="3"/>
  <c r="K995" i="3"/>
  <c r="J997" i="3"/>
  <c r="K997" i="3" s="1"/>
  <c r="J1008" i="3"/>
  <c r="K998" i="3"/>
  <c r="K987" i="3"/>
  <c r="G962" i="3"/>
  <c r="K972" i="3"/>
  <c r="K983" i="3"/>
  <c r="K907" i="3"/>
  <c r="I962" i="3"/>
  <c r="K921" i="3"/>
  <c r="E868" i="3"/>
  <c r="E867" i="3" s="1"/>
  <c r="E961" i="3"/>
  <c r="G961" i="3" s="1"/>
  <c r="J859" i="3"/>
  <c r="K957" i="3"/>
  <c r="K951" i="3"/>
  <c r="K958" i="3"/>
  <c r="I861" i="3"/>
  <c r="K861" i="3" s="1"/>
  <c r="K955" i="3"/>
  <c r="K959" i="3"/>
  <c r="K923" i="3"/>
  <c r="K947" i="3"/>
  <c r="K956" i="3"/>
  <c r="K960" i="3"/>
  <c r="K952" i="3"/>
  <c r="K919" i="3"/>
  <c r="K929" i="3"/>
  <c r="K945" i="3"/>
  <c r="K948" i="3"/>
  <c r="J949" i="3"/>
  <c r="I954" i="3"/>
  <c r="I953" i="3" s="1"/>
  <c r="I950" i="3"/>
  <c r="I943" i="3"/>
  <c r="I942" i="3" s="1"/>
  <c r="K920" i="3"/>
  <c r="K926" i="3"/>
  <c r="K928" i="3"/>
  <c r="K930" i="3"/>
  <c r="K932" i="3"/>
  <c r="K922" i="3"/>
  <c r="K927" i="3"/>
  <c r="K931" i="3"/>
  <c r="K944" i="3"/>
  <c r="K916" i="3"/>
  <c r="K935" i="3"/>
  <c r="K941" i="3"/>
  <c r="J942" i="3"/>
  <c r="K940" i="3"/>
  <c r="K939" i="3"/>
  <c r="K938" i="3"/>
  <c r="J933" i="3"/>
  <c r="K937" i="3"/>
  <c r="I934" i="3"/>
  <c r="I933" i="3" s="1"/>
  <c r="K936" i="3"/>
  <c r="I925" i="3"/>
  <c r="I924" i="3" s="1"/>
  <c r="I918" i="3"/>
  <c r="I917" i="3" s="1"/>
  <c r="K902" i="3"/>
  <c r="I911" i="3"/>
  <c r="I910" i="3" s="1"/>
  <c r="K878" i="3"/>
  <c r="K913" i="3"/>
  <c r="K896" i="3"/>
  <c r="K906" i="3"/>
  <c r="K908" i="3"/>
  <c r="K880" i="3"/>
  <c r="K884" i="3"/>
  <c r="K881" i="3"/>
  <c r="K888" i="3"/>
  <c r="K905" i="3"/>
  <c r="K909" i="3"/>
  <c r="K912" i="3"/>
  <c r="K897" i="3"/>
  <c r="K862" i="3"/>
  <c r="K863" i="3"/>
  <c r="K865" i="3"/>
  <c r="K866" i="3"/>
  <c r="K882" i="3"/>
  <c r="K893" i="3"/>
  <c r="K879" i="3"/>
  <c r="K883" i="3"/>
  <c r="I903" i="3"/>
  <c r="K864" i="3"/>
  <c r="K889" i="3"/>
  <c r="J885" i="3"/>
  <c r="K899" i="3"/>
  <c r="K901" i="3"/>
  <c r="K900" i="3"/>
  <c r="K898" i="3"/>
  <c r="K892" i="3"/>
  <c r="K891" i="3"/>
  <c r="K890" i="3"/>
  <c r="K860" i="3"/>
  <c r="I859" i="3"/>
  <c r="J848" i="3"/>
  <c r="I848" i="3"/>
  <c r="J847" i="3"/>
  <c r="I847" i="3"/>
  <c r="F849" i="3"/>
  <c r="F846" i="3" s="1"/>
  <c r="E849" i="3"/>
  <c r="E846" i="3" s="1"/>
  <c r="J845" i="3"/>
  <c r="J844" i="3" s="1"/>
  <c r="I845" i="3"/>
  <c r="I844" i="3" s="1"/>
  <c r="F844" i="3"/>
  <c r="E844" i="3"/>
  <c r="J843" i="3"/>
  <c r="J842" i="3" s="1"/>
  <c r="I843" i="3"/>
  <c r="I842" i="3" s="1"/>
  <c r="G843" i="3"/>
  <c r="F842" i="3"/>
  <c r="E842" i="3"/>
  <c r="J840" i="3"/>
  <c r="I840" i="3"/>
  <c r="J839" i="3"/>
  <c r="J838" i="3" s="1"/>
  <c r="I839" i="3"/>
  <c r="I838" i="3" s="1"/>
  <c r="F838" i="3"/>
  <c r="E838" i="3"/>
  <c r="F837" i="3"/>
  <c r="F831" i="3" s="1"/>
  <c r="J836" i="3"/>
  <c r="I836" i="3"/>
  <c r="J835" i="3"/>
  <c r="I835" i="3"/>
  <c r="J834" i="3"/>
  <c r="I834" i="3"/>
  <c r="J833" i="3"/>
  <c r="I833" i="3"/>
  <c r="J832" i="3"/>
  <c r="I832" i="3"/>
  <c r="E837" i="3"/>
  <c r="J830" i="3"/>
  <c r="J829" i="3" s="1"/>
  <c r="I830" i="3"/>
  <c r="I829" i="3" s="1"/>
  <c r="F829" i="3"/>
  <c r="E829" i="3"/>
  <c r="J825" i="3"/>
  <c r="J824" i="3" s="1"/>
  <c r="I825" i="3"/>
  <c r="I824" i="3" s="1"/>
  <c r="F824" i="3"/>
  <c r="E824" i="3"/>
  <c r="J823" i="3"/>
  <c r="J822" i="3" s="1"/>
  <c r="I823" i="3"/>
  <c r="I822" i="3" s="1"/>
  <c r="F822" i="3"/>
  <c r="E822" i="3"/>
  <c r="J821" i="3"/>
  <c r="J820" i="3" s="1"/>
  <c r="I821" i="3"/>
  <c r="I820" i="3" s="1"/>
  <c r="F820" i="3"/>
  <c r="E820" i="3"/>
  <c r="J819" i="3"/>
  <c r="J818" i="3" s="1"/>
  <c r="I819" i="3"/>
  <c r="F818" i="3"/>
  <c r="E818" i="3"/>
  <c r="J814" i="3"/>
  <c r="J813" i="3" s="1"/>
  <c r="I814" i="3"/>
  <c r="I813" i="3" s="1"/>
  <c r="F816" i="3"/>
  <c r="F815" i="3" s="1"/>
  <c r="E816" i="3"/>
  <c r="E815" i="3" s="1"/>
  <c r="F813" i="3"/>
  <c r="E813" i="3"/>
  <c r="J809" i="3"/>
  <c r="I809" i="3"/>
  <c r="I808" i="3" s="1"/>
  <c r="J807" i="3"/>
  <c r="J806" i="3" s="1"/>
  <c r="I807" i="3"/>
  <c r="I806" i="3" s="1"/>
  <c r="F806" i="3"/>
  <c r="E806" i="3"/>
  <c r="J805" i="3"/>
  <c r="J804" i="3" s="1"/>
  <c r="I805" i="3"/>
  <c r="I804" i="3" s="1"/>
  <c r="F804" i="3"/>
  <c r="E804" i="3"/>
  <c r="J803" i="3"/>
  <c r="J802" i="3" s="1"/>
  <c r="I803" i="3"/>
  <c r="I802" i="3" s="1"/>
  <c r="F802" i="3"/>
  <c r="E802" i="3"/>
  <c r="J801" i="3"/>
  <c r="J800" i="3" s="1"/>
  <c r="I801" i="3"/>
  <c r="I800" i="3" s="1"/>
  <c r="F800" i="3"/>
  <c r="E800" i="3"/>
  <c r="J799" i="3"/>
  <c r="J798" i="3" s="1"/>
  <c r="I799" i="3"/>
  <c r="I798" i="3" s="1"/>
  <c r="F798" i="3"/>
  <c r="E798" i="3"/>
  <c r="J797" i="3"/>
  <c r="J796" i="3" s="1"/>
  <c r="I797" i="3"/>
  <c r="I796" i="3" s="1"/>
  <c r="F796" i="3"/>
  <c r="E796" i="3"/>
  <c r="J795" i="3"/>
  <c r="J794" i="3" s="1"/>
  <c r="I795" i="3"/>
  <c r="F794" i="3"/>
  <c r="E794" i="3"/>
  <c r="K788" i="3"/>
  <c r="F791" i="3"/>
  <c r="E791" i="3"/>
  <c r="G788" i="3"/>
  <c r="F787" i="3"/>
  <c r="E787" i="3"/>
  <c r="J789" i="3"/>
  <c r="J787" i="3" s="1"/>
  <c r="I789" i="3"/>
  <c r="I787" i="3" s="1"/>
  <c r="J786" i="3"/>
  <c r="J785" i="3" s="1"/>
  <c r="I786" i="3"/>
  <c r="I785" i="3" s="1"/>
  <c r="J784" i="3"/>
  <c r="I784" i="3"/>
  <c r="I783" i="3" s="1"/>
  <c r="F783" i="3"/>
  <c r="E783" i="3"/>
  <c r="J782" i="3"/>
  <c r="I782" i="3"/>
  <c r="J781" i="3"/>
  <c r="I781" i="3"/>
  <c r="J779" i="3"/>
  <c r="J778" i="3" s="1"/>
  <c r="I779" i="3"/>
  <c r="I778" i="3" s="1"/>
  <c r="F778" i="3"/>
  <c r="E778" i="3"/>
  <c r="J777" i="3"/>
  <c r="I777" i="3"/>
  <c r="J776" i="3"/>
  <c r="I776" i="3"/>
  <c r="I773" i="3"/>
  <c r="J774" i="3"/>
  <c r="I774" i="3"/>
  <c r="J771" i="3"/>
  <c r="I771" i="3"/>
  <c r="J770" i="3"/>
  <c r="I770" i="3"/>
  <c r="F767" i="3"/>
  <c r="F766" i="3" s="1"/>
  <c r="E767" i="3"/>
  <c r="E766" i="3" s="1"/>
  <c r="J765" i="3"/>
  <c r="J764" i="3" s="1"/>
  <c r="I765" i="3"/>
  <c r="I764" i="3" s="1"/>
  <c r="G765" i="3"/>
  <c r="F764" i="3"/>
  <c r="E764" i="3"/>
  <c r="F762" i="3"/>
  <c r="F761" i="3" s="1"/>
  <c r="E762" i="3"/>
  <c r="E761" i="3" s="1"/>
  <c r="J760" i="3"/>
  <c r="J759" i="3" s="1"/>
  <c r="I760" i="3"/>
  <c r="G760" i="3"/>
  <c r="F759" i="3"/>
  <c r="E759" i="3"/>
  <c r="G758" i="3"/>
  <c r="F757" i="3"/>
  <c r="E757" i="3"/>
  <c r="J1006" i="3" l="1"/>
  <c r="J966" i="3"/>
  <c r="I1006" i="3"/>
  <c r="I966" i="3"/>
  <c r="J868" i="3"/>
  <c r="I794" i="3"/>
  <c r="I811" i="3"/>
  <c r="I818" i="3"/>
  <c r="K818" i="3" s="1"/>
  <c r="I827" i="3"/>
  <c r="I791" i="3"/>
  <c r="F851" i="3"/>
  <c r="F850" i="3" s="1"/>
  <c r="G842" i="3"/>
  <c r="K1008" i="3"/>
  <c r="K991" i="3"/>
  <c r="K989" i="3"/>
  <c r="K993" i="3"/>
  <c r="E851" i="3"/>
  <c r="E850" i="3" s="1"/>
  <c r="G757" i="3"/>
  <c r="E831" i="3"/>
  <c r="G761" i="3"/>
  <c r="I961" i="3"/>
  <c r="K961" i="3" s="1"/>
  <c r="K962" i="3"/>
  <c r="G759" i="3"/>
  <c r="K965" i="3"/>
  <c r="K859" i="3"/>
  <c r="I876" i="3"/>
  <c r="J953" i="3"/>
  <c r="K953" i="3" s="1"/>
  <c r="K954" i="3"/>
  <c r="K942" i="3"/>
  <c r="I949" i="3"/>
  <c r="K949" i="3" s="1"/>
  <c r="K950" i="3"/>
  <c r="J917" i="3"/>
  <c r="K917" i="3" s="1"/>
  <c r="K918" i="3"/>
  <c r="J924" i="3"/>
  <c r="K924" i="3" s="1"/>
  <c r="K925" i="3"/>
  <c r="K885" i="3"/>
  <c r="K943" i="3"/>
  <c r="K933" i="3"/>
  <c r="K934" i="3"/>
  <c r="K911" i="3"/>
  <c r="K848" i="3"/>
  <c r="J914" i="3"/>
  <c r="K914" i="3" s="1"/>
  <c r="K915" i="3"/>
  <c r="J910" i="3"/>
  <c r="K910" i="3" s="1"/>
  <c r="K844" i="3"/>
  <c r="J903" i="3"/>
  <c r="K903" i="3" s="1"/>
  <c r="K904" i="3"/>
  <c r="K886" i="3"/>
  <c r="K842" i="3"/>
  <c r="K843" i="3"/>
  <c r="J876" i="3"/>
  <c r="K877" i="3"/>
  <c r="I894" i="3"/>
  <c r="K894" i="3" s="1"/>
  <c r="K895" i="3"/>
  <c r="J849" i="3"/>
  <c r="J846" i="3" s="1"/>
  <c r="I849" i="3"/>
  <c r="I846" i="3" s="1"/>
  <c r="K847" i="3"/>
  <c r="K845" i="3"/>
  <c r="K782" i="3"/>
  <c r="G762" i="3"/>
  <c r="K794" i="3"/>
  <c r="K796" i="3"/>
  <c r="K838" i="3"/>
  <c r="I792" i="3"/>
  <c r="K839" i="3"/>
  <c r="K778" i="3"/>
  <c r="K829" i="3"/>
  <c r="K832" i="3"/>
  <c r="K836" i="3"/>
  <c r="K833" i="3"/>
  <c r="J792" i="3"/>
  <c r="K798" i="3"/>
  <c r="K800" i="3"/>
  <c r="I810" i="3"/>
  <c r="K760" i="3"/>
  <c r="K801" i="3"/>
  <c r="K802" i="3"/>
  <c r="K804" i="3"/>
  <c r="K809" i="3"/>
  <c r="K835" i="3"/>
  <c r="J837" i="3"/>
  <c r="K764" i="3"/>
  <c r="K770" i="3"/>
  <c r="K779" i="3"/>
  <c r="K805" i="3"/>
  <c r="K806" i="3"/>
  <c r="I837" i="3"/>
  <c r="I831" i="3" s="1"/>
  <c r="K834" i="3"/>
  <c r="K797" i="3"/>
  <c r="K813" i="3"/>
  <c r="K776" i="3"/>
  <c r="K785" i="3"/>
  <c r="J811" i="3"/>
  <c r="K795" i="3"/>
  <c r="K799" i="3"/>
  <c r="K803" i="3"/>
  <c r="K807" i="3"/>
  <c r="I816" i="3"/>
  <c r="I815" i="3" s="1"/>
  <c r="J775" i="3"/>
  <c r="K777" i="3"/>
  <c r="K781" i="3"/>
  <c r="K786" i="3"/>
  <c r="J816" i="3"/>
  <c r="K814" i="3"/>
  <c r="K819" i="3"/>
  <c r="J827" i="3"/>
  <c r="J854" i="3" s="1"/>
  <c r="K830" i="3"/>
  <c r="J791" i="3"/>
  <c r="K820" i="3"/>
  <c r="K774" i="3"/>
  <c r="K825" i="3"/>
  <c r="K824" i="3"/>
  <c r="K822" i="3"/>
  <c r="K823" i="3"/>
  <c r="K821" i="3"/>
  <c r="J808" i="3"/>
  <c r="K808" i="3" s="1"/>
  <c r="K787" i="3"/>
  <c r="I759" i="3"/>
  <c r="K759" i="3" s="1"/>
  <c r="K784" i="3"/>
  <c r="I767" i="3"/>
  <c r="I766" i="3" s="1"/>
  <c r="I769" i="3"/>
  <c r="K771" i="3"/>
  <c r="K765" i="3"/>
  <c r="J767" i="3"/>
  <c r="J769" i="3"/>
  <c r="K773" i="3"/>
  <c r="K789" i="3"/>
  <c r="J783" i="3"/>
  <c r="K783" i="3" s="1"/>
  <c r="J780" i="3"/>
  <c r="I780" i="3"/>
  <c r="I775" i="3"/>
  <c r="J772" i="3"/>
  <c r="I772" i="3"/>
  <c r="J753" i="3"/>
  <c r="J752" i="3" s="1"/>
  <c r="I753" i="3"/>
  <c r="I752" i="3" s="1"/>
  <c r="E754" i="3"/>
  <c r="F752" i="3"/>
  <c r="E752" i="3"/>
  <c r="J748" i="3"/>
  <c r="J747" i="3" s="1"/>
  <c r="I748" i="3"/>
  <c r="I747" i="3" s="1"/>
  <c r="J746" i="3"/>
  <c r="J745" i="3" s="1"/>
  <c r="I746" i="3"/>
  <c r="I745" i="3" s="1"/>
  <c r="F745" i="3"/>
  <c r="E745" i="3"/>
  <c r="J744" i="3"/>
  <c r="J743" i="3" s="1"/>
  <c r="I744" i="3"/>
  <c r="I743" i="3" s="1"/>
  <c r="F743" i="3"/>
  <c r="E743" i="3"/>
  <c r="J742" i="3"/>
  <c r="J741" i="3" s="1"/>
  <c r="I742" i="3"/>
  <c r="I741" i="3" s="1"/>
  <c r="F741" i="3"/>
  <c r="E741" i="3"/>
  <c r="J740" i="3"/>
  <c r="J739" i="3" s="1"/>
  <c r="I740" i="3"/>
  <c r="F739" i="3"/>
  <c r="E739" i="3"/>
  <c r="J735" i="3"/>
  <c r="I735" i="3"/>
  <c r="I734" i="3" s="1"/>
  <c r="F734" i="3"/>
  <c r="E734" i="3"/>
  <c r="J733" i="3"/>
  <c r="I733" i="3"/>
  <c r="I732" i="3" s="1"/>
  <c r="F732" i="3"/>
  <c r="E732" i="3"/>
  <c r="J731" i="3"/>
  <c r="J730" i="3" s="1"/>
  <c r="I731" i="3"/>
  <c r="I730" i="3" s="1"/>
  <c r="F730" i="3"/>
  <c r="E730" i="3"/>
  <c r="J729" i="3"/>
  <c r="J728" i="3" s="1"/>
  <c r="I729" i="3"/>
  <c r="F728" i="3"/>
  <c r="E728" i="3"/>
  <c r="J723" i="3"/>
  <c r="I723" i="3"/>
  <c r="I722" i="3" s="1"/>
  <c r="F722" i="3"/>
  <c r="E722" i="3"/>
  <c r="J721" i="3"/>
  <c r="J720" i="3" s="1"/>
  <c r="I721" i="3"/>
  <c r="I720" i="3" s="1"/>
  <c r="F720" i="3"/>
  <c r="E720" i="3"/>
  <c r="J719" i="3"/>
  <c r="I719" i="3"/>
  <c r="I725" i="3" s="1"/>
  <c r="F718" i="3"/>
  <c r="E718" i="3"/>
  <c r="J712" i="3"/>
  <c r="I712" i="3"/>
  <c r="E716" i="3"/>
  <c r="J714" i="3"/>
  <c r="J713" i="3" s="1"/>
  <c r="I714" i="3"/>
  <c r="F713" i="3"/>
  <c r="E713" i="3"/>
  <c r="F711" i="3"/>
  <c r="E711" i="3"/>
  <c r="J710" i="3"/>
  <c r="J709" i="3" s="1"/>
  <c r="I710" i="3"/>
  <c r="I709" i="3" s="1"/>
  <c r="F709" i="3"/>
  <c r="E709" i="3"/>
  <c r="J708" i="3"/>
  <c r="J707" i="3" s="1"/>
  <c r="I708" i="3"/>
  <c r="I707" i="3" s="1"/>
  <c r="F707" i="3"/>
  <c r="E707" i="3"/>
  <c r="J706" i="3"/>
  <c r="J705" i="3" s="1"/>
  <c r="I706" i="3"/>
  <c r="I705" i="3" s="1"/>
  <c r="F705" i="3"/>
  <c r="E705" i="3"/>
  <c r="J704" i="3"/>
  <c r="J703" i="3" s="1"/>
  <c r="I704" i="3"/>
  <c r="I703" i="3" s="1"/>
  <c r="F703" i="3"/>
  <c r="E703" i="3"/>
  <c r="F701" i="3"/>
  <c r="F700" i="3"/>
  <c r="E700" i="3"/>
  <c r="J698" i="3"/>
  <c r="I698" i="3"/>
  <c r="I701" i="3" s="1"/>
  <c r="J697" i="3"/>
  <c r="I697" i="3"/>
  <c r="J695" i="3"/>
  <c r="J694" i="3" s="1"/>
  <c r="I695" i="3"/>
  <c r="I694" i="3" s="1"/>
  <c r="F694" i="3"/>
  <c r="E694" i="3"/>
  <c r="J693" i="3"/>
  <c r="J692" i="3" s="1"/>
  <c r="I693" i="3"/>
  <c r="G693" i="3"/>
  <c r="F692" i="3"/>
  <c r="E692" i="3"/>
  <c r="F690" i="3"/>
  <c r="E690" i="3"/>
  <c r="J691" i="3"/>
  <c r="J690" i="3" s="1"/>
  <c r="I691" i="3"/>
  <c r="I690" i="3" s="1"/>
  <c r="J689" i="3"/>
  <c r="I689" i="3"/>
  <c r="F688" i="3"/>
  <c r="E688" i="3"/>
  <c r="F237" i="3"/>
  <c r="F236" i="3" s="1"/>
  <c r="E237" i="3"/>
  <c r="E236" i="3" s="1"/>
  <c r="F242" i="3"/>
  <c r="F241" i="3" s="1"/>
  <c r="E242" i="3"/>
  <c r="E241" i="3" s="1"/>
  <c r="J240" i="3"/>
  <c r="J242" i="3" s="1"/>
  <c r="J241" i="3" s="1"/>
  <c r="I240" i="3"/>
  <c r="I239" i="3" s="1"/>
  <c r="G240" i="3"/>
  <c r="F239" i="3"/>
  <c r="E239" i="3"/>
  <c r="J235" i="3"/>
  <c r="J234" i="3" s="1"/>
  <c r="I235" i="3"/>
  <c r="I234" i="3" s="1"/>
  <c r="J233" i="3"/>
  <c r="I233" i="3"/>
  <c r="I232" i="3" s="1"/>
  <c r="G233" i="3"/>
  <c r="G232" i="3" s="1"/>
  <c r="F232" i="3"/>
  <c r="E232" i="3"/>
  <c r="F230" i="3"/>
  <c r="F246" i="3" s="1"/>
  <c r="E230" i="3"/>
  <c r="E246" i="3" s="1"/>
  <c r="F229" i="3"/>
  <c r="F244" i="3" s="1"/>
  <c r="E229" i="3"/>
  <c r="E244" i="3" s="1"/>
  <c r="J227" i="3"/>
  <c r="J230" i="3" s="1"/>
  <c r="J224" i="3"/>
  <c r="I225" i="3"/>
  <c r="I224" i="3" s="1"/>
  <c r="J223" i="3"/>
  <c r="J222" i="3" s="1"/>
  <c r="I223" i="3"/>
  <c r="I229" i="3" s="1"/>
  <c r="G223" i="3"/>
  <c r="F222" i="3"/>
  <c r="E222" i="3"/>
  <c r="J215" i="3"/>
  <c r="J214" i="3" s="1"/>
  <c r="I215" i="3"/>
  <c r="I214" i="3" s="1"/>
  <c r="J213" i="3"/>
  <c r="J212" i="3" s="1"/>
  <c r="I213" i="3"/>
  <c r="I212" i="3" s="1"/>
  <c r="I21" i="3"/>
  <c r="J28" i="3"/>
  <c r="J21" i="3"/>
  <c r="K1006" i="3" l="1"/>
  <c r="J851" i="3"/>
  <c r="I688" i="3"/>
  <c r="I700" i="3"/>
  <c r="I728" i="3"/>
  <c r="K728" i="3" s="1"/>
  <c r="I737" i="3"/>
  <c r="I739" i="3"/>
  <c r="I749" i="3" s="1"/>
  <c r="I750" i="3"/>
  <c r="J38" i="3"/>
  <c r="G239" i="3"/>
  <c r="I964" i="3"/>
  <c r="G692" i="3"/>
  <c r="G237" i="3"/>
  <c r="G236" i="3" s="1"/>
  <c r="F699" i="3"/>
  <c r="K966" i="3"/>
  <c r="J964" i="3"/>
  <c r="I855" i="3"/>
  <c r="I1017" i="3" s="1"/>
  <c r="I851" i="3"/>
  <c r="I850" i="3" s="1"/>
  <c r="K769" i="3"/>
  <c r="J850" i="3"/>
  <c r="K846" i="3"/>
  <c r="I826" i="3"/>
  <c r="I854" i="3"/>
  <c r="K854" i="3" s="1"/>
  <c r="I790" i="3"/>
  <c r="K849" i="3"/>
  <c r="K772" i="3"/>
  <c r="K837" i="3"/>
  <c r="K792" i="3"/>
  <c r="K780" i="3"/>
  <c r="J831" i="3"/>
  <c r="K831" i="3" s="1"/>
  <c r="K775" i="3"/>
  <c r="K816" i="3"/>
  <c r="J815" i="3"/>
  <c r="K815" i="3" s="1"/>
  <c r="K827" i="3"/>
  <c r="J826" i="3"/>
  <c r="J810" i="3"/>
  <c r="K810" i="3" s="1"/>
  <c r="K811" i="3"/>
  <c r="K791" i="3"/>
  <c r="J790" i="3"/>
  <c r="K767" i="3"/>
  <c r="J766" i="3"/>
  <c r="K766" i="3" s="1"/>
  <c r="J724" i="3"/>
  <c r="K731" i="3"/>
  <c r="K739" i="3"/>
  <c r="K693" i="3"/>
  <c r="K730" i="3"/>
  <c r="K733" i="3"/>
  <c r="K746" i="3"/>
  <c r="K752" i="3"/>
  <c r="J732" i="3"/>
  <c r="K732" i="3" s="1"/>
  <c r="K740" i="3"/>
  <c r="K707" i="3"/>
  <c r="I696" i="3"/>
  <c r="K697" i="3"/>
  <c r="K703" i="3"/>
  <c r="K714" i="3"/>
  <c r="K741" i="3"/>
  <c r="J696" i="3"/>
  <c r="K706" i="3"/>
  <c r="K710" i="3"/>
  <c r="K720" i="3"/>
  <c r="K742" i="3"/>
  <c r="K743" i="3"/>
  <c r="K745" i="3"/>
  <c r="K698" i="3"/>
  <c r="K705" i="3"/>
  <c r="K708" i="3"/>
  <c r="K709" i="3"/>
  <c r="K753" i="3"/>
  <c r="K694" i="3"/>
  <c r="K747" i="3"/>
  <c r="I736" i="3"/>
  <c r="K695" i="3"/>
  <c r="J701" i="3"/>
  <c r="K704" i="3"/>
  <c r="I713" i="3"/>
  <c r="K713" i="3" s="1"/>
  <c r="J700" i="3"/>
  <c r="K719" i="3"/>
  <c r="J725" i="3"/>
  <c r="K735" i="3"/>
  <c r="J736" i="3"/>
  <c r="J237" i="3"/>
  <c r="J236" i="3" s="1"/>
  <c r="I692" i="3"/>
  <c r="K692" i="3" s="1"/>
  <c r="I718" i="3"/>
  <c r="I724" i="3"/>
  <c r="K744" i="3"/>
  <c r="K748" i="3"/>
  <c r="J749" i="3"/>
  <c r="I755" i="3"/>
  <c r="I754" i="3" s="1"/>
  <c r="I716" i="3"/>
  <c r="I715" i="3" s="1"/>
  <c r="J718" i="3"/>
  <c r="K721" i="3"/>
  <c r="K723" i="3"/>
  <c r="K729" i="3"/>
  <c r="J737" i="3"/>
  <c r="J755" i="3"/>
  <c r="J716" i="3"/>
  <c r="J715" i="3" s="1"/>
  <c r="J750" i="3"/>
  <c r="J734" i="3"/>
  <c r="K734" i="3" s="1"/>
  <c r="J722" i="3"/>
  <c r="K722" i="3" s="1"/>
  <c r="J711" i="3"/>
  <c r="K712" i="3"/>
  <c r="I711" i="3"/>
  <c r="K689" i="3"/>
  <c r="J688" i="3"/>
  <c r="K688" i="3" s="1"/>
  <c r="I237" i="3"/>
  <c r="I236" i="3" s="1"/>
  <c r="K690" i="3"/>
  <c r="K691" i="3"/>
  <c r="E228" i="3"/>
  <c r="G242" i="3"/>
  <c r="I242" i="3"/>
  <c r="I241" i="3" s="1"/>
  <c r="K241" i="3" s="1"/>
  <c r="G241" i="3"/>
  <c r="G222" i="3"/>
  <c r="G229" i="3"/>
  <c r="G228" i="3" s="1"/>
  <c r="K240" i="3"/>
  <c r="J239" i="3"/>
  <c r="K239" i="3" s="1"/>
  <c r="K223" i="3"/>
  <c r="F228" i="3"/>
  <c r="J229" i="3"/>
  <c r="K229" i="3" s="1"/>
  <c r="K228" i="3" s="1"/>
  <c r="I222" i="3"/>
  <c r="K222" i="3" s="1"/>
  <c r="K224" i="3"/>
  <c r="K233" i="3"/>
  <c r="K235" i="3"/>
  <c r="J232" i="3"/>
  <c r="J226" i="3"/>
  <c r="K225" i="3"/>
  <c r="K214" i="3"/>
  <c r="K212" i="3"/>
  <c r="K215" i="3"/>
  <c r="K213" i="3"/>
  <c r="J199" i="3"/>
  <c r="J198" i="3" s="1"/>
  <c r="I199" i="3"/>
  <c r="J196" i="3"/>
  <c r="I196" i="3"/>
  <c r="J195" i="3"/>
  <c r="I195" i="3"/>
  <c r="J197" i="3"/>
  <c r="I197" i="3"/>
  <c r="J191" i="3"/>
  <c r="J246" i="3" s="1"/>
  <c r="I191" i="3"/>
  <c r="E189" i="3"/>
  <c r="J186" i="3"/>
  <c r="I186" i="3"/>
  <c r="J184" i="3"/>
  <c r="I184" i="3"/>
  <c r="I183" i="3" s="1"/>
  <c r="J179" i="3"/>
  <c r="I179" i="3"/>
  <c r="J178" i="3" l="1"/>
  <c r="J181" i="3"/>
  <c r="I178" i="3"/>
  <c r="I181" i="3"/>
  <c r="I185" i="3"/>
  <c r="I190" i="3"/>
  <c r="I189" i="3" s="1"/>
  <c r="J190" i="3"/>
  <c r="J189" i="3" s="1"/>
  <c r="K964" i="3"/>
  <c r="K850" i="3"/>
  <c r="K790" i="3"/>
  <c r="K826" i="3"/>
  <c r="K851" i="3"/>
  <c r="K701" i="3"/>
  <c r="J855" i="3"/>
  <c r="J1017" i="3" s="1"/>
  <c r="I699" i="3"/>
  <c r="K725" i="3"/>
  <c r="K724" i="3"/>
  <c r="K749" i="3"/>
  <c r="K696" i="3"/>
  <c r="K711" i="3"/>
  <c r="K715" i="3"/>
  <c r="J754" i="3"/>
  <c r="K754" i="3" s="1"/>
  <c r="K755" i="3"/>
  <c r="K716" i="3"/>
  <c r="K750" i="3"/>
  <c r="K737" i="3"/>
  <c r="K718" i="3"/>
  <c r="K736" i="3"/>
  <c r="K700" i="3"/>
  <c r="J699" i="3"/>
  <c r="K237" i="3"/>
  <c r="K236" i="3" s="1"/>
  <c r="K242" i="3"/>
  <c r="J228" i="3"/>
  <c r="K197" i="3"/>
  <c r="K196" i="3"/>
  <c r="I194" i="3"/>
  <c r="I193" i="3" s="1"/>
  <c r="K195" i="3"/>
  <c r="K199" i="3"/>
  <c r="J194" i="3"/>
  <c r="I198" i="3"/>
  <c r="K198" i="3" s="1"/>
  <c r="K186" i="3"/>
  <c r="K184" i="3"/>
  <c r="K179" i="3"/>
  <c r="J183" i="3"/>
  <c r="K183" i="3" s="1"/>
  <c r="J185" i="3"/>
  <c r="K185" i="3" s="1"/>
  <c r="I170" i="3"/>
  <c r="F168" i="3"/>
  <c r="E169" i="3"/>
  <c r="J166" i="3"/>
  <c r="I167" i="3"/>
  <c r="I166" i="3" s="1"/>
  <c r="J165" i="3"/>
  <c r="J164" i="3" s="1"/>
  <c r="I165" i="3"/>
  <c r="I164" i="3" s="1"/>
  <c r="J163" i="3"/>
  <c r="I163" i="3"/>
  <c r="I162" i="3" s="1"/>
  <c r="J161" i="3"/>
  <c r="J160" i="3" s="1"/>
  <c r="I161" i="3"/>
  <c r="I160" i="3" s="1"/>
  <c r="J159" i="3"/>
  <c r="I159" i="3"/>
  <c r="F106" i="3"/>
  <c r="F174" i="3" s="1"/>
  <c r="G167" i="3"/>
  <c r="F166" i="3"/>
  <c r="E166" i="3"/>
  <c r="F164" i="3"/>
  <c r="E164" i="3"/>
  <c r="J154" i="3"/>
  <c r="J153" i="3" s="1"/>
  <c r="I154" i="3"/>
  <c r="J152" i="3"/>
  <c r="J151" i="3" s="1"/>
  <c r="I152" i="3"/>
  <c r="I151" i="3" s="1"/>
  <c r="E148" i="3"/>
  <c r="J146" i="3"/>
  <c r="J149" i="3" s="1"/>
  <c r="I146" i="3"/>
  <c r="I149" i="3" s="1"/>
  <c r="J145" i="3"/>
  <c r="I145" i="3"/>
  <c r="J143" i="3"/>
  <c r="I143" i="3"/>
  <c r="I142" i="3" s="1"/>
  <c r="F142" i="3"/>
  <c r="E142" i="3"/>
  <c r="J141" i="3"/>
  <c r="I141" i="3"/>
  <c r="I140" i="3" s="1"/>
  <c r="F140" i="3"/>
  <c r="E140" i="3"/>
  <c r="J139" i="3"/>
  <c r="I139" i="3"/>
  <c r="I138" i="3" s="1"/>
  <c r="J137" i="3"/>
  <c r="J136" i="3" s="1"/>
  <c r="I137" i="3"/>
  <c r="I136" i="3" s="1"/>
  <c r="F136" i="3"/>
  <c r="E136" i="3"/>
  <c r="J135" i="3"/>
  <c r="J134" i="3" s="1"/>
  <c r="I135" i="3"/>
  <c r="I134" i="3" s="1"/>
  <c r="G135" i="3"/>
  <c r="F134" i="3"/>
  <c r="E134" i="3"/>
  <c r="J133" i="3"/>
  <c r="J132" i="3" s="1"/>
  <c r="I133" i="3"/>
  <c r="I132" i="3" s="1"/>
  <c r="J131" i="3"/>
  <c r="J130" i="3" s="1"/>
  <c r="I131" i="3"/>
  <c r="I130" i="3" s="1"/>
  <c r="G131" i="3"/>
  <c r="F130" i="3"/>
  <c r="E130" i="3"/>
  <c r="J129" i="3"/>
  <c r="I129" i="3"/>
  <c r="I128" i="3" s="1"/>
  <c r="J127" i="3"/>
  <c r="J126" i="3" s="1"/>
  <c r="I127" i="3"/>
  <c r="I126" i="3" s="1"/>
  <c r="J125" i="3"/>
  <c r="I125" i="3"/>
  <c r="J120" i="3"/>
  <c r="J119" i="3" s="1"/>
  <c r="I120" i="3"/>
  <c r="I119" i="3" s="1"/>
  <c r="J118" i="3"/>
  <c r="I118" i="3"/>
  <c r="I117" i="3" s="1"/>
  <c r="J116" i="3"/>
  <c r="I116" i="3"/>
  <c r="F113" i="3"/>
  <c r="F112" i="3" s="1"/>
  <c r="E113" i="3"/>
  <c r="E112" i="3" s="1"/>
  <c r="J109" i="3"/>
  <c r="I109" i="3"/>
  <c r="I108" i="3" s="1"/>
  <c r="J111" i="3"/>
  <c r="I111" i="3"/>
  <c r="J104" i="3"/>
  <c r="I104" i="3"/>
  <c r="F101" i="3"/>
  <c r="E101" i="3"/>
  <c r="E100" i="3" s="1"/>
  <c r="J99" i="3"/>
  <c r="I99" i="3"/>
  <c r="G99" i="3"/>
  <c r="F98" i="3"/>
  <c r="E98" i="3"/>
  <c r="I89" i="3"/>
  <c r="J97" i="3"/>
  <c r="J96" i="3" s="1"/>
  <c r="I97" i="3"/>
  <c r="J90" i="3"/>
  <c r="J75" i="3"/>
  <c r="J74" i="3" s="1"/>
  <c r="I75" i="3"/>
  <c r="J73" i="3"/>
  <c r="I73" i="3"/>
  <c r="J71" i="3"/>
  <c r="J70" i="3" s="1"/>
  <c r="I71" i="3"/>
  <c r="I70" i="3" s="1"/>
  <c r="J69" i="3"/>
  <c r="I69" i="3"/>
  <c r="J68" i="3"/>
  <c r="I68" i="3"/>
  <c r="J66" i="3"/>
  <c r="I66" i="3"/>
  <c r="J65" i="3"/>
  <c r="I65" i="3"/>
  <c r="J122" i="3" l="1"/>
  <c r="K178" i="3"/>
  <c r="J169" i="3"/>
  <c r="F100" i="3"/>
  <c r="F173" i="3"/>
  <c r="J244" i="3"/>
  <c r="I106" i="3"/>
  <c r="I174" i="3" s="1"/>
  <c r="I115" i="3"/>
  <c r="I121" i="3" s="1"/>
  <c r="I122" i="3"/>
  <c r="I72" i="3"/>
  <c r="J93" i="3"/>
  <c r="J92" i="3" s="1"/>
  <c r="J98" i="3"/>
  <c r="J101" i="3"/>
  <c r="J106" i="3"/>
  <c r="J174" i="3" s="1"/>
  <c r="J110" i="3"/>
  <c r="J113" i="3"/>
  <c r="J112" i="3" s="1"/>
  <c r="J124" i="3"/>
  <c r="J148" i="3"/>
  <c r="I158" i="3"/>
  <c r="I169" i="3"/>
  <c r="I168" i="3" s="1"/>
  <c r="I101" i="3"/>
  <c r="I100" i="3" s="1"/>
  <c r="I110" i="3"/>
  <c r="I113" i="3"/>
  <c r="I112" i="3" s="1"/>
  <c r="I124" i="3"/>
  <c r="K124" i="3" s="1"/>
  <c r="I148" i="3"/>
  <c r="I147" i="3" s="1"/>
  <c r="I74" i="3"/>
  <c r="K74" i="3" s="1"/>
  <c r="K855" i="3"/>
  <c r="K1017" i="3"/>
  <c r="K699" i="3"/>
  <c r="I180" i="3"/>
  <c r="G130" i="3"/>
  <c r="K134" i="3"/>
  <c r="G134" i="3"/>
  <c r="G166" i="3"/>
  <c r="G98" i="3"/>
  <c r="G101" i="3"/>
  <c r="K135" i="3"/>
  <c r="G169" i="3"/>
  <c r="I201" i="3"/>
  <c r="K189" i="3"/>
  <c r="K160" i="3"/>
  <c r="J193" i="3"/>
  <c r="K193" i="3" s="1"/>
  <c r="K194" i="3"/>
  <c r="J201" i="3"/>
  <c r="J245" i="3" s="1"/>
  <c r="J1015" i="3" s="1"/>
  <c r="K190" i="3"/>
  <c r="K163" i="3"/>
  <c r="K171" i="3"/>
  <c r="K181" i="3"/>
  <c r="J180" i="3"/>
  <c r="J168" i="3"/>
  <c r="K164" i="3"/>
  <c r="K159" i="3"/>
  <c r="J158" i="3"/>
  <c r="J162" i="3"/>
  <c r="K162" i="3" s="1"/>
  <c r="J170" i="3"/>
  <c r="K170" i="3" s="1"/>
  <c r="K161" i="3"/>
  <c r="K165" i="3"/>
  <c r="E168" i="3"/>
  <c r="I144" i="3"/>
  <c r="K139" i="3"/>
  <c r="K151" i="3"/>
  <c r="K141" i="3"/>
  <c r="K145" i="3"/>
  <c r="K143" i="3"/>
  <c r="I156" i="3"/>
  <c r="I155" i="3" s="1"/>
  <c r="K136" i="3"/>
  <c r="K152" i="3"/>
  <c r="J156" i="3"/>
  <c r="K137" i="3"/>
  <c r="K154" i="3"/>
  <c r="J138" i="3"/>
  <c r="K138" i="3" s="1"/>
  <c r="J140" i="3"/>
  <c r="K140" i="3" s="1"/>
  <c r="J142" i="3"/>
  <c r="K142" i="3" s="1"/>
  <c r="J144" i="3"/>
  <c r="I153" i="3"/>
  <c r="K153" i="3" s="1"/>
  <c r="K132" i="3"/>
  <c r="K133" i="3"/>
  <c r="K130" i="3"/>
  <c r="K131" i="3"/>
  <c r="K129" i="3"/>
  <c r="K119" i="3"/>
  <c r="J128" i="3"/>
  <c r="K128" i="3" s="1"/>
  <c r="K127" i="3"/>
  <c r="K99" i="3"/>
  <c r="K118" i="3"/>
  <c r="K126" i="3"/>
  <c r="K109" i="3"/>
  <c r="K116" i="3"/>
  <c r="J108" i="3"/>
  <c r="K108" i="3" s="1"/>
  <c r="J115" i="3"/>
  <c r="K111" i="3"/>
  <c r="K120" i="3"/>
  <c r="K125" i="3"/>
  <c r="K97" i="3"/>
  <c r="J117" i="3"/>
  <c r="K117" i="3" s="1"/>
  <c r="K104" i="3"/>
  <c r="I103" i="3"/>
  <c r="J103" i="3"/>
  <c r="I98" i="3"/>
  <c r="G100" i="3"/>
  <c r="I64" i="3"/>
  <c r="I67" i="3"/>
  <c r="J89" i="3"/>
  <c r="K89" i="3" s="1"/>
  <c r="I96" i="3"/>
  <c r="K96" i="3" s="1"/>
  <c r="K66" i="3"/>
  <c r="K69" i="3"/>
  <c r="K73" i="3"/>
  <c r="K65" i="3"/>
  <c r="K68" i="3"/>
  <c r="K70" i="3"/>
  <c r="J64" i="3"/>
  <c r="J67" i="3"/>
  <c r="J72" i="3"/>
  <c r="K72" i="3" s="1"/>
  <c r="K71" i="3"/>
  <c r="K75" i="3"/>
  <c r="K90" i="3"/>
  <c r="J61" i="3"/>
  <c r="I61" i="3"/>
  <c r="J58" i="3"/>
  <c r="I59" i="3"/>
  <c r="I58" i="3" s="1"/>
  <c r="J57" i="3"/>
  <c r="J56" i="3" s="1"/>
  <c r="I57" i="3"/>
  <c r="K54" i="3"/>
  <c r="K55" i="3"/>
  <c r="J53" i="3"/>
  <c r="I53" i="3"/>
  <c r="J51" i="3"/>
  <c r="I51" i="3"/>
  <c r="J52" i="3"/>
  <c r="I52" i="3"/>
  <c r="J48" i="3"/>
  <c r="J79" i="3" s="1"/>
  <c r="I49" i="3"/>
  <c r="I48" i="3"/>
  <c r="J46" i="3"/>
  <c r="I46" i="3"/>
  <c r="I45" i="3" s="1"/>
  <c r="J42" i="3"/>
  <c r="I42" i="3"/>
  <c r="J33" i="3"/>
  <c r="J32" i="3" s="1"/>
  <c r="I33" i="3"/>
  <c r="I32" i="3" s="1"/>
  <c r="J31" i="3"/>
  <c r="I31" i="3"/>
  <c r="I30" i="3" s="1"/>
  <c r="I28" i="3"/>
  <c r="J27" i="3"/>
  <c r="I27" i="3"/>
  <c r="J25" i="3"/>
  <c r="I25" i="3"/>
  <c r="J24" i="3"/>
  <c r="I24" i="3"/>
  <c r="J20" i="3"/>
  <c r="I20" i="3"/>
  <c r="J18" i="3"/>
  <c r="I18" i="3"/>
  <c r="J14" i="3"/>
  <c r="I15" i="3"/>
  <c r="I14" i="3" s="1"/>
  <c r="I12" i="3"/>
  <c r="I11" i="3"/>
  <c r="G54" i="3"/>
  <c r="G55" i="3"/>
  <c r="F53" i="3"/>
  <c r="E53" i="3"/>
  <c r="K98" i="3" l="1"/>
  <c r="K115" i="3"/>
  <c r="J77" i="3"/>
  <c r="K158" i="3"/>
  <c r="K110" i="3"/>
  <c r="I38" i="3"/>
  <c r="I77" i="3"/>
  <c r="J35" i="3"/>
  <c r="J82" i="3" s="1"/>
  <c r="I79" i="3"/>
  <c r="K106" i="3"/>
  <c r="I173" i="3"/>
  <c r="J105" i="3"/>
  <c r="I105" i="3"/>
  <c r="I35" i="3"/>
  <c r="J173" i="3"/>
  <c r="K144" i="3"/>
  <c r="I200" i="3"/>
  <c r="I245" i="3"/>
  <c r="I1015" i="3" s="1"/>
  <c r="K180" i="3"/>
  <c r="K244" i="3"/>
  <c r="J243" i="3"/>
  <c r="K53" i="3"/>
  <c r="K174" i="3"/>
  <c r="K201" i="3"/>
  <c r="J200" i="3"/>
  <c r="I92" i="3"/>
  <c r="K92" i="3" s="1"/>
  <c r="K168" i="3"/>
  <c r="K169" i="3"/>
  <c r="K148" i="3"/>
  <c r="J147" i="3"/>
  <c r="K147" i="3" s="1"/>
  <c r="K156" i="3"/>
  <c r="J155" i="3"/>
  <c r="K155" i="3" s="1"/>
  <c r="J121" i="3"/>
  <c r="K121" i="3" s="1"/>
  <c r="J100" i="3"/>
  <c r="K100" i="3" s="1"/>
  <c r="K101" i="3"/>
  <c r="K103" i="3"/>
  <c r="K112" i="3"/>
  <c r="K113" i="3"/>
  <c r="G53" i="3"/>
  <c r="K18" i="3"/>
  <c r="K64" i="3"/>
  <c r="K48" i="3"/>
  <c r="I50" i="3"/>
  <c r="J26" i="3"/>
  <c r="K20" i="3"/>
  <c r="K46" i="3"/>
  <c r="K49" i="3"/>
  <c r="K67" i="3"/>
  <c r="J37" i="3"/>
  <c r="J84" i="3" s="1"/>
  <c r="K12" i="3"/>
  <c r="K42" i="3"/>
  <c r="K52" i="3"/>
  <c r="K57" i="3"/>
  <c r="K59" i="3"/>
  <c r="K61" i="3"/>
  <c r="K14" i="3"/>
  <c r="K31" i="3"/>
  <c r="K32" i="3"/>
  <c r="K11" i="3"/>
  <c r="I16" i="3"/>
  <c r="K17" i="3"/>
  <c r="K21" i="3"/>
  <c r="K25" i="3"/>
  <c r="K28" i="3"/>
  <c r="J50" i="3"/>
  <c r="J16" i="3"/>
  <c r="I19" i="3"/>
  <c r="I37" i="3"/>
  <c r="K27" i="3"/>
  <c r="J30" i="3"/>
  <c r="K30" i="3" s="1"/>
  <c r="K93" i="3"/>
  <c r="K58" i="3"/>
  <c r="J19" i="3"/>
  <c r="I23" i="3"/>
  <c r="K24" i="3"/>
  <c r="I10" i="3"/>
  <c r="K15" i="3"/>
  <c r="J23" i="3"/>
  <c r="I26" i="3"/>
  <c r="K33" i="3"/>
  <c r="I47" i="3"/>
  <c r="K51" i="3"/>
  <c r="J10" i="3"/>
  <c r="I41" i="3"/>
  <c r="K43" i="3"/>
  <c r="J45" i="3"/>
  <c r="K45" i="3" s="1"/>
  <c r="J47" i="3"/>
  <c r="I56" i="3"/>
  <c r="K56" i="3" s="1"/>
  <c r="J41" i="3"/>
  <c r="F765" i="5"/>
  <c r="E765" i="5"/>
  <c r="G763" i="5"/>
  <c r="G762" i="5"/>
  <c r="G761" i="5"/>
  <c r="G760" i="5"/>
  <c r="G759" i="5"/>
  <c r="G758" i="5"/>
  <c r="F757" i="5"/>
  <c r="E757" i="5"/>
  <c r="E756" i="5" s="1"/>
  <c r="F753" i="5"/>
  <c r="F752" i="5" s="1"/>
  <c r="E753" i="5"/>
  <c r="E752" i="5" s="1"/>
  <c r="G750" i="5"/>
  <c r="F749" i="5"/>
  <c r="E749" i="5"/>
  <c r="E748" i="5" s="1"/>
  <c r="G747" i="5"/>
  <c r="G746" i="5"/>
  <c r="G745" i="5"/>
  <c r="G744" i="5"/>
  <c r="G743" i="5"/>
  <c r="G742" i="5"/>
  <c r="G741" i="5"/>
  <c r="F740" i="5"/>
  <c r="E740" i="5"/>
  <c r="E739" i="5" s="1"/>
  <c r="G738" i="5"/>
  <c r="G737" i="5"/>
  <c r="G736" i="5"/>
  <c r="G735" i="5"/>
  <c r="G734" i="5"/>
  <c r="G732" i="5"/>
  <c r="F731" i="5"/>
  <c r="E731" i="5"/>
  <c r="E730" i="5" s="1"/>
  <c r="G729" i="5"/>
  <c r="G728" i="5"/>
  <c r="G727" i="5"/>
  <c r="F726" i="5"/>
  <c r="E726" i="5"/>
  <c r="E725" i="5"/>
  <c r="G724" i="5"/>
  <c r="F723" i="5"/>
  <c r="E723" i="5"/>
  <c r="E722" i="5" s="1"/>
  <c r="G719" i="5"/>
  <c r="G718" i="5"/>
  <c r="F717" i="5"/>
  <c r="E717" i="5"/>
  <c r="E716" i="5" s="1"/>
  <c r="G715" i="5"/>
  <c r="G714" i="5"/>
  <c r="G713" i="5"/>
  <c r="G712" i="5"/>
  <c r="G711" i="5"/>
  <c r="G710" i="5"/>
  <c r="G709" i="5"/>
  <c r="F708" i="5"/>
  <c r="E708" i="5"/>
  <c r="E707" i="5"/>
  <c r="G706" i="5"/>
  <c r="G705" i="5"/>
  <c r="G703" i="5"/>
  <c r="G702" i="5"/>
  <c r="G701" i="5"/>
  <c r="F699" i="5"/>
  <c r="E699" i="5"/>
  <c r="E698" i="5" s="1"/>
  <c r="G697" i="5"/>
  <c r="G696" i="5"/>
  <c r="G695" i="5"/>
  <c r="G694" i="5"/>
  <c r="G693" i="5"/>
  <c r="G692" i="5"/>
  <c r="G691" i="5"/>
  <c r="F690" i="5"/>
  <c r="E690" i="5"/>
  <c r="E689" i="5" s="1"/>
  <c r="F688" i="5"/>
  <c r="G688" i="5" s="1"/>
  <c r="E688" i="5"/>
  <c r="F687" i="5"/>
  <c r="G687" i="5" s="1"/>
  <c r="E687" i="5"/>
  <c r="F686" i="5"/>
  <c r="G686" i="5" s="1"/>
  <c r="E686" i="5"/>
  <c r="F685" i="5"/>
  <c r="E685" i="5"/>
  <c r="G684" i="5"/>
  <c r="F684" i="5"/>
  <c r="E684" i="5"/>
  <c r="F683" i="5"/>
  <c r="E683" i="5"/>
  <c r="F682" i="5"/>
  <c r="E682" i="5"/>
  <c r="E681" i="5" s="1"/>
  <c r="G679" i="5"/>
  <c r="G678" i="5"/>
  <c r="G677" i="5"/>
  <c r="G676" i="5"/>
  <c r="G675" i="5"/>
  <c r="G674" i="5"/>
  <c r="G673" i="5"/>
  <c r="G672" i="5"/>
  <c r="F663" i="5"/>
  <c r="G662" i="5"/>
  <c r="G661" i="5"/>
  <c r="G660" i="5"/>
  <c r="F659" i="5"/>
  <c r="G659" i="5" s="1"/>
  <c r="E659" i="5"/>
  <c r="G658" i="5"/>
  <c r="G657" i="5"/>
  <c r="G656" i="5"/>
  <c r="G655" i="5"/>
  <c r="G653" i="5"/>
  <c r="G652" i="5"/>
  <c r="G651" i="5"/>
  <c r="G650" i="5"/>
  <c r="G649" i="5"/>
  <c r="F648" i="5"/>
  <c r="F654" i="5" s="1"/>
  <c r="F664" i="5" s="1"/>
  <c r="E648" i="5"/>
  <c r="E654" i="5" s="1"/>
  <c r="E664" i="5" s="1"/>
  <c r="G647" i="5"/>
  <c r="G646" i="5"/>
  <c r="F644" i="5"/>
  <c r="F667" i="5" s="1"/>
  <c r="G667" i="5" s="1"/>
  <c r="E644" i="5"/>
  <c r="E667" i="5" s="1"/>
  <c r="G643" i="5"/>
  <c r="F643" i="5"/>
  <c r="E643" i="5"/>
  <c r="G642" i="5"/>
  <c r="G641" i="5"/>
  <c r="G640" i="5"/>
  <c r="G639" i="5"/>
  <c r="G638" i="5"/>
  <c r="G637" i="5"/>
  <c r="G636" i="5"/>
  <c r="G635" i="5"/>
  <c r="F633" i="5"/>
  <c r="G633" i="5" s="1"/>
  <c r="G632" i="5"/>
  <c r="F632" i="5"/>
  <c r="E632" i="5"/>
  <c r="G631" i="5"/>
  <c r="G630" i="5"/>
  <c r="F628" i="5"/>
  <c r="E628" i="5"/>
  <c r="F627" i="5"/>
  <c r="E627" i="5"/>
  <c r="G626" i="5"/>
  <c r="G625" i="5"/>
  <c r="G624" i="5"/>
  <c r="G623" i="5"/>
  <c r="G622" i="5"/>
  <c r="G621" i="5"/>
  <c r="G620" i="5"/>
  <c r="G619" i="5"/>
  <c r="G618" i="5"/>
  <c r="G617" i="5"/>
  <c r="G616" i="5"/>
  <c r="G615" i="5"/>
  <c r="G614" i="5"/>
  <c r="G613" i="5"/>
  <c r="G612" i="5"/>
  <c r="G611" i="5"/>
  <c r="F608" i="5"/>
  <c r="E608" i="5"/>
  <c r="F607" i="5"/>
  <c r="E607" i="5"/>
  <c r="G605" i="5"/>
  <c r="G604" i="5"/>
  <c r="G602" i="5"/>
  <c r="G601" i="5"/>
  <c r="G600" i="5"/>
  <c r="G599" i="5"/>
  <c r="G598" i="5"/>
  <c r="F597" i="5"/>
  <c r="G597" i="5" s="1"/>
  <c r="E597" i="5"/>
  <c r="G596" i="5"/>
  <c r="G595" i="5"/>
  <c r="G594" i="5"/>
  <c r="G593" i="5"/>
  <c r="F592" i="5"/>
  <c r="E592" i="5"/>
  <c r="G591" i="5"/>
  <c r="G590" i="5"/>
  <c r="F589" i="5"/>
  <c r="G589" i="5" s="1"/>
  <c r="E589" i="5"/>
  <c r="G588" i="5"/>
  <c r="G587" i="5"/>
  <c r="F586" i="5"/>
  <c r="G586" i="5" s="1"/>
  <c r="E586" i="5"/>
  <c r="F583" i="5"/>
  <c r="E583" i="5"/>
  <c r="E584" i="5" s="1"/>
  <c r="G582" i="5"/>
  <c r="G581" i="5"/>
  <c r="F579" i="5"/>
  <c r="F578" i="5"/>
  <c r="E578" i="5"/>
  <c r="G577" i="5"/>
  <c r="G579" i="5" s="1"/>
  <c r="G576" i="5"/>
  <c r="G578" i="5" s="1"/>
  <c r="F574" i="5"/>
  <c r="E574" i="5"/>
  <c r="F573" i="5"/>
  <c r="E573" i="5"/>
  <c r="G572" i="5"/>
  <c r="G571" i="5"/>
  <c r="G570" i="5"/>
  <c r="G569" i="5"/>
  <c r="G568" i="5"/>
  <c r="G567" i="5"/>
  <c r="G566" i="5"/>
  <c r="G565" i="5"/>
  <c r="G564" i="5"/>
  <c r="G563" i="5"/>
  <c r="F561" i="5"/>
  <c r="E561" i="5"/>
  <c r="F560" i="5"/>
  <c r="E560" i="5"/>
  <c r="G559" i="5"/>
  <c r="G558" i="5"/>
  <c r="G557" i="5"/>
  <c r="G556" i="5"/>
  <c r="G555" i="5"/>
  <c r="G554" i="5"/>
  <c r="G553" i="5"/>
  <c r="G552" i="5"/>
  <c r="F549" i="5"/>
  <c r="E549" i="5"/>
  <c r="F548" i="5"/>
  <c r="E548" i="5"/>
  <c r="G547" i="5"/>
  <c r="G546" i="5"/>
  <c r="G545" i="5"/>
  <c r="G544" i="5"/>
  <c r="G543" i="5"/>
  <c r="G542" i="5"/>
  <c r="F540" i="5"/>
  <c r="E540" i="5"/>
  <c r="E539" i="5" s="1"/>
  <c r="G538" i="5"/>
  <c r="G537" i="5"/>
  <c r="G536" i="5"/>
  <c r="G535" i="5"/>
  <c r="G534" i="5"/>
  <c r="G533" i="5"/>
  <c r="G532" i="5"/>
  <c r="G531" i="5"/>
  <c r="G530" i="5"/>
  <c r="G529" i="5"/>
  <c r="G528" i="5"/>
  <c r="G527" i="5"/>
  <c r="F525" i="5"/>
  <c r="E525" i="5"/>
  <c r="F524" i="5"/>
  <c r="E524" i="5"/>
  <c r="G522" i="5"/>
  <c r="G521" i="5"/>
  <c r="F520" i="5"/>
  <c r="E520" i="5"/>
  <c r="G520" i="5" s="1"/>
  <c r="G519" i="5"/>
  <c r="G518" i="5"/>
  <c r="G517" i="5"/>
  <c r="G516" i="5"/>
  <c r="G515" i="5"/>
  <c r="G514" i="5"/>
  <c r="G502" i="5"/>
  <c r="G501" i="5"/>
  <c r="G500" i="5"/>
  <c r="G499" i="5"/>
  <c r="G498" i="5"/>
  <c r="G497" i="5"/>
  <c r="G496" i="5"/>
  <c r="G495" i="5"/>
  <c r="G494" i="5"/>
  <c r="G493" i="5"/>
  <c r="G492" i="5"/>
  <c r="G491" i="5"/>
  <c r="G490" i="5"/>
  <c r="G489" i="5"/>
  <c r="G488" i="5"/>
  <c r="G487" i="5"/>
  <c r="G486" i="5"/>
  <c r="G485" i="5"/>
  <c r="F484" i="5"/>
  <c r="G484" i="5" s="1"/>
  <c r="E484" i="5"/>
  <c r="E480" i="5" s="1"/>
  <c r="F482" i="5"/>
  <c r="G482" i="5" s="1"/>
  <c r="E482" i="5"/>
  <c r="F481" i="5"/>
  <c r="E481" i="5"/>
  <c r="E505" i="5" s="1"/>
  <c r="G479" i="5"/>
  <c r="G478" i="5"/>
  <c r="G477" i="5"/>
  <c r="G476" i="5"/>
  <c r="G475" i="5"/>
  <c r="G474" i="5"/>
  <c r="G473" i="5"/>
  <c r="F471" i="5"/>
  <c r="E471" i="5"/>
  <c r="G470" i="5"/>
  <c r="G468" i="5"/>
  <c r="G467" i="5"/>
  <c r="G466" i="5"/>
  <c r="G465" i="5"/>
  <c r="G464" i="5"/>
  <c r="G463" i="5"/>
  <c r="G462" i="5"/>
  <c r="G461" i="5"/>
  <c r="G460" i="5"/>
  <c r="G459" i="5"/>
  <c r="G458" i="5"/>
  <c r="G457" i="5"/>
  <c r="G456" i="5"/>
  <c r="G455" i="5"/>
  <c r="G454" i="5"/>
  <c r="G453" i="5"/>
  <c r="G452" i="5"/>
  <c r="G451" i="5"/>
  <c r="G450" i="5"/>
  <c r="F449" i="5"/>
  <c r="E449" i="5"/>
  <c r="G448" i="5"/>
  <c r="G447" i="5"/>
  <c r="G446" i="5"/>
  <c r="G445" i="5"/>
  <c r="G444" i="5"/>
  <c r="G443" i="5"/>
  <c r="G442" i="5"/>
  <c r="G441" i="5"/>
  <c r="G440" i="5"/>
  <c r="G439" i="5"/>
  <c r="G438" i="5"/>
  <c r="G437" i="5"/>
  <c r="G436" i="5"/>
  <c r="F433" i="5"/>
  <c r="E433" i="5"/>
  <c r="E432" i="5"/>
  <c r="G431" i="5"/>
  <c r="G430" i="5"/>
  <c r="F428" i="5"/>
  <c r="E428" i="5"/>
  <c r="E427" i="5" s="1"/>
  <c r="G426" i="5"/>
  <c r="G425" i="5"/>
  <c r="G424" i="5"/>
  <c r="G423" i="5"/>
  <c r="G422" i="5"/>
  <c r="G421" i="5"/>
  <c r="G420" i="5"/>
  <c r="F418" i="5"/>
  <c r="G418" i="5" s="1"/>
  <c r="E418" i="5"/>
  <c r="E417" i="5"/>
  <c r="G417" i="5" s="1"/>
  <c r="G416" i="5"/>
  <c r="F414" i="5"/>
  <c r="E414" i="5"/>
  <c r="F413" i="5"/>
  <c r="G412" i="5"/>
  <c r="F410" i="5"/>
  <c r="G410" i="5" s="1"/>
  <c r="E410" i="5"/>
  <c r="E409" i="5" s="1"/>
  <c r="G408" i="5"/>
  <c r="E406" i="5"/>
  <c r="G406" i="5" s="1"/>
  <c r="F405" i="5"/>
  <c r="E405" i="5"/>
  <c r="G405" i="5" s="1"/>
  <c r="G404" i="5"/>
  <c r="G403" i="5"/>
  <c r="G402" i="5"/>
  <c r="F400" i="5"/>
  <c r="F399" i="5" s="1"/>
  <c r="G399" i="5" s="1"/>
  <c r="E400" i="5"/>
  <c r="E399" i="5"/>
  <c r="G397" i="5"/>
  <c r="F396" i="5"/>
  <c r="E396" i="5"/>
  <c r="F394" i="5"/>
  <c r="J522" i="3" s="1"/>
  <c r="J518" i="3" s="1"/>
  <c r="J678" i="3" s="1"/>
  <c r="E394" i="5"/>
  <c r="F392" i="5"/>
  <c r="G392" i="5" s="1"/>
  <c r="E392" i="5"/>
  <c r="F391" i="5"/>
  <c r="E391" i="5"/>
  <c r="F387" i="5"/>
  <c r="G387" i="5" s="1"/>
  <c r="E387" i="5"/>
  <c r="F384" i="5"/>
  <c r="G384" i="5" s="1"/>
  <c r="E384" i="5"/>
  <c r="F381" i="5"/>
  <c r="E381" i="5"/>
  <c r="F379" i="5"/>
  <c r="E379" i="5"/>
  <c r="E377" i="5" s="1"/>
  <c r="F378" i="5"/>
  <c r="F377" i="5" s="1"/>
  <c r="E378" i="5"/>
  <c r="G375" i="5"/>
  <c r="F372" i="5"/>
  <c r="E372" i="5"/>
  <c r="E371" i="5"/>
  <c r="G370" i="5"/>
  <c r="G369" i="5"/>
  <c r="G368" i="5"/>
  <c r="F366" i="5"/>
  <c r="F365" i="5" s="1"/>
  <c r="E366" i="5"/>
  <c r="E365" i="5"/>
  <c r="G364" i="5"/>
  <c r="F361" i="5"/>
  <c r="E361" i="5"/>
  <c r="E360" i="5"/>
  <c r="G359" i="5"/>
  <c r="G358" i="5"/>
  <c r="G357" i="5"/>
  <c r="F355" i="5"/>
  <c r="F354" i="5" s="1"/>
  <c r="G354" i="5" s="1"/>
  <c r="E355" i="5"/>
  <c r="E354" i="5"/>
  <c r="G353" i="5"/>
  <c r="G352" i="5"/>
  <c r="G351" i="5"/>
  <c r="F349" i="5"/>
  <c r="F348" i="5" s="1"/>
  <c r="E349" i="5"/>
  <c r="E348" i="5" s="1"/>
  <c r="G347" i="5"/>
  <c r="G346" i="5"/>
  <c r="G345" i="5"/>
  <c r="F343" i="5"/>
  <c r="E343" i="5"/>
  <c r="F340" i="5"/>
  <c r="G340" i="5" s="1"/>
  <c r="E340" i="5"/>
  <c r="G335" i="5"/>
  <c r="G334" i="5"/>
  <c r="G333" i="5"/>
  <c r="G332" i="5"/>
  <c r="G331" i="5"/>
  <c r="G330" i="5"/>
  <c r="G329" i="5"/>
  <c r="G328" i="5"/>
  <c r="G327" i="5"/>
  <c r="G326" i="5"/>
  <c r="G325" i="5"/>
  <c r="G324" i="5"/>
  <c r="G323" i="5"/>
  <c r="G322" i="5"/>
  <c r="G321" i="5"/>
  <c r="G320" i="5"/>
  <c r="G319" i="5"/>
  <c r="G318" i="5"/>
  <c r="G317" i="5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F252" i="5"/>
  <c r="G252" i="5" s="1"/>
  <c r="E252" i="5"/>
  <c r="E249" i="5" s="1"/>
  <c r="E248" i="5" s="1"/>
  <c r="G251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F231" i="5"/>
  <c r="E231" i="5"/>
  <c r="G231" i="5" s="1"/>
  <c r="G230" i="5"/>
  <c r="F228" i="5"/>
  <c r="E228" i="5"/>
  <c r="G227" i="5"/>
  <c r="G226" i="5"/>
  <c r="F224" i="5"/>
  <c r="G224" i="5" s="1"/>
  <c r="E224" i="5"/>
  <c r="G223" i="5"/>
  <c r="F221" i="5"/>
  <c r="E221" i="5"/>
  <c r="E219" i="5" s="1"/>
  <c r="E218" i="5" s="1"/>
  <c r="G217" i="5"/>
  <c r="G216" i="5"/>
  <c r="G215" i="5"/>
  <c r="G214" i="5"/>
  <c r="G213" i="5"/>
  <c r="G212" i="5"/>
  <c r="G211" i="5"/>
  <c r="G210" i="5"/>
  <c r="F208" i="5"/>
  <c r="E208" i="5"/>
  <c r="F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F188" i="5"/>
  <c r="E183" i="5"/>
  <c r="I227" i="3" s="1"/>
  <c r="G180" i="5"/>
  <c r="F179" i="5"/>
  <c r="G179" i="5" s="1"/>
  <c r="E179" i="5"/>
  <c r="G178" i="5"/>
  <c r="F177" i="5"/>
  <c r="G177" i="5" s="1"/>
  <c r="E177" i="5"/>
  <c r="G167" i="5"/>
  <c r="G166" i="5"/>
  <c r="F163" i="5"/>
  <c r="E163" i="5"/>
  <c r="E170" i="5" s="1"/>
  <c r="E187" i="5" s="1"/>
  <c r="E162" i="5"/>
  <c r="F160" i="5"/>
  <c r="F186" i="5" s="1"/>
  <c r="E160" i="5"/>
  <c r="E186" i="5" s="1"/>
  <c r="E185" i="5" s="1"/>
  <c r="F159" i="5"/>
  <c r="G159" i="5" s="1"/>
  <c r="E159" i="5"/>
  <c r="G158" i="5"/>
  <c r="F157" i="5"/>
  <c r="E157" i="5"/>
  <c r="G156" i="5"/>
  <c r="F155" i="5"/>
  <c r="G155" i="5" s="1"/>
  <c r="E155" i="5"/>
  <c r="G153" i="5"/>
  <c r="G152" i="5"/>
  <c r="G151" i="5"/>
  <c r="F150" i="5"/>
  <c r="E150" i="5"/>
  <c r="F146" i="5"/>
  <c r="E146" i="5"/>
  <c r="G143" i="5"/>
  <c r="G142" i="5"/>
  <c r="F141" i="5"/>
  <c r="E141" i="5"/>
  <c r="F140" i="5"/>
  <c r="E140" i="5"/>
  <c r="G139" i="5"/>
  <c r="G138" i="5"/>
  <c r="F136" i="5"/>
  <c r="E136" i="5"/>
  <c r="F135" i="5"/>
  <c r="E135" i="5"/>
  <c r="G134" i="5"/>
  <c r="G133" i="5"/>
  <c r="G132" i="5"/>
  <c r="G131" i="5"/>
  <c r="E128" i="5"/>
  <c r="E127" i="5"/>
  <c r="G125" i="5"/>
  <c r="G124" i="5"/>
  <c r="G123" i="5"/>
  <c r="G122" i="5"/>
  <c r="G121" i="5"/>
  <c r="G120" i="5"/>
  <c r="G119" i="5"/>
  <c r="G118" i="5"/>
  <c r="G117" i="5"/>
  <c r="G116" i="5"/>
  <c r="G115" i="5"/>
  <c r="F114" i="5"/>
  <c r="F128" i="5" s="1"/>
  <c r="G113" i="5"/>
  <c r="G112" i="5"/>
  <c r="F110" i="5"/>
  <c r="E110" i="5"/>
  <c r="F109" i="5"/>
  <c r="G109" i="5" s="1"/>
  <c r="E109" i="5"/>
  <c r="G108" i="5"/>
  <c r="G107" i="5"/>
  <c r="G106" i="5"/>
  <c r="G105" i="5"/>
  <c r="G104" i="5"/>
  <c r="G103" i="5"/>
  <c r="F101" i="5"/>
  <c r="E101" i="5"/>
  <c r="F100" i="5"/>
  <c r="G100" i="5" s="1"/>
  <c r="E100" i="5"/>
  <c r="G99" i="5"/>
  <c r="G98" i="5"/>
  <c r="F96" i="5"/>
  <c r="E96" i="5"/>
  <c r="F95" i="5"/>
  <c r="G95" i="5" s="1"/>
  <c r="E95" i="5"/>
  <c r="G94" i="5"/>
  <c r="G93" i="5"/>
  <c r="F91" i="5"/>
  <c r="E91" i="5"/>
  <c r="F90" i="5"/>
  <c r="G90" i="5" s="1"/>
  <c r="E90" i="5"/>
  <c r="G89" i="5"/>
  <c r="G88" i="5"/>
  <c r="F86" i="5"/>
  <c r="E86" i="5"/>
  <c r="G85" i="5"/>
  <c r="F85" i="5"/>
  <c r="E85" i="5"/>
  <c r="G84" i="5"/>
  <c r="G83" i="5"/>
  <c r="F73" i="5"/>
  <c r="E73" i="5"/>
  <c r="F71" i="5"/>
  <c r="E71" i="5"/>
  <c r="G69" i="5"/>
  <c r="F68" i="5"/>
  <c r="E68" i="5"/>
  <c r="G67" i="5"/>
  <c r="F66" i="5"/>
  <c r="E66" i="5"/>
  <c r="G65" i="5"/>
  <c r="F64" i="5"/>
  <c r="E64" i="5"/>
  <c r="G63" i="5"/>
  <c r="G62" i="5"/>
  <c r="F61" i="5"/>
  <c r="G61" i="5" s="1"/>
  <c r="E61" i="5"/>
  <c r="G60" i="5"/>
  <c r="G59" i="5"/>
  <c r="G58" i="5"/>
  <c r="F58" i="5"/>
  <c r="E58" i="5"/>
  <c r="F56" i="5"/>
  <c r="E56" i="5"/>
  <c r="E74" i="5" s="1"/>
  <c r="E70" i="5" s="1"/>
  <c r="G55" i="5"/>
  <c r="F52" i="5"/>
  <c r="G51" i="5"/>
  <c r="F50" i="5"/>
  <c r="G50" i="5" s="1"/>
  <c r="E50" i="5"/>
  <c r="G49" i="5"/>
  <c r="G48" i="5"/>
  <c r="F47" i="5"/>
  <c r="E47" i="5"/>
  <c r="G42" i="5"/>
  <c r="G41" i="5"/>
  <c r="F40" i="5"/>
  <c r="E40" i="5"/>
  <c r="F37" i="5"/>
  <c r="E37" i="5"/>
  <c r="F36" i="5"/>
  <c r="F78" i="5" s="1"/>
  <c r="E36" i="5"/>
  <c r="F34" i="5"/>
  <c r="E34" i="5"/>
  <c r="E33" i="5"/>
  <c r="F31" i="5"/>
  <c r="G30" i="5"/>
  <c r="F29" i="5"/>
  <c r="E29" i="5"/>
  <c r="G27" i="5"/>
  <c r="G26" i="5"/>
  <c r="F25" i="5"/>
  <c r="E25" i="5"/>
  <c r="G24" i="5"/>
  <c r="G23" i="5"/>
  <c r="F22" i="5"/>
  <c r="E22" i="5"/>
  <c r="G20" i="5"/>
  <c r="G19" i="5"/>
  <c r="F18" i="5"/>
  <c r="E18" i="5"/>
  <c r="G17" i="5"/>
  <c r="G16" i="5"/>
  <c r="F15" i="5"/>
  <c r="E15" i="5"/>
  <c r="G14" i="5"/>
  <c r="F13" i="5"/>
  <c r="G13" i="5" s="1"/>
  <c r="G11" i="5"/>
  <c r="G10" i="5"/>
  <c r="F9" i="5"/>
  <c r="E9" i="5"/>
  <c r="I84" i="3" l="1"/>
  <c r="G47" i="5"/>
  <c r="G66" i="5"/>
  <c r="G73" i="5"/>
  <c r="G157" i="5"/>
  <c r="G228" i="5"/>
  <c r="E504" i="5"/>
  <c r="E390" i="5"/>
  <c r="G390" i="5" s="1"/>
  <c r="G471" i="5"/>
  <c r="G540" i="5"/>
  <c r="G548" i="5"/>
  <c r="G574" i="5"/>
  <c r="G608" i="5"/>
  <c r="G648" i="5"/>
  <c r="E663" i="5"/>
  <c r="G749" i="5"/>
  <c r="I82" i="3"/>
  <c r="G15" i="5"/>
  <c r="G18" i="5"/>
  <c r="G22" i="5"/>
  <c r="G25" i="5"/>
  <c r="G71" i="5"/>
  <c r="G146" i="5"/>
  <c r="G160" i="5"/>
  <c r="G221" i="5"/>
  <c r="E509" i="5"/>
  <c r="G394" i="5"/>
  <c r="I522" i="3"/>
  <c r="G549" i="5"/>
  <c r="G627" i="5"/>
  <c r="G683" i="5"/>
  <c r="G365" i="5"/>
  <c r="F390" i="5"/>
  <c r="J520" i="3"/>
  <c r="E523" i="5"/>
  <c r="E606" i="5"/>
  <c r="J34" i="3"/>
  <c r="K105" i="3"/>
  <c r="G29" i="5"/>
  <c r="G36" i="5"/>
  <c r="E54" i="5"/>
  <c r="F74" i="5"/>
  <c r="G74" i="5" s="1"/>
  <c r="J62" i="3"/>
  <c r="J80" i="3" s="1"/>
  <c r="J85" i="3" s="1"/>
  <c r="G64" i="5"/>
  <c r="E76" i="5"/>
  <c r="G349" i="5"/>
  <c r="G355" i="5"/>
  <c r="G366" i="5"/>
  <c r="G400" i="5"/>
  <c r="G663" i="5"/>
  <c r="E680" i="5"/>
  <c r="F748" i="5"/>
  <c r="G748" i="5" s="1"/>
  <c r="G9" i="5"/>
  <c r="G34" i="5"/>
  <c r="E79" i="5"/>
  <c r="F54" i="5"/>
  <c r="F145" i="5"/>
  <c r="G110" i="5"/>
  <c r="G136" i="5"/>
  <c r="I230" i="3"/>
  <c r="I226" i="3"/>
  <c r="F219" i="5"/>
  <c r="G449" i="5"/>
  <c r="F480" i="5"/>
  <c r="F539" i="5"/>
  <c r="G539" i="5" s="1"/>
  <c r="G561" i="5"/>
  <c r="G592" i="5"/>
  <c r="G685" i="5"/>
  <c r="G699" i="5"/>
  <c r="G757" i="5"/>
  <c r="G765" i="5"/>
  <c r="E78" i="5"/>
  <c r="E771" i="5" s="1"/>
  <c r="F79" i="5"/>
  <c r="G79" i="5" s="1"/>
  <c r="G68" i="5"/>
  <c r="G150" i="5"/>
  <c r="G348" i="5"/>
  <c r="F506" i="5"/>
  <c r="F510" i="5" s="1"/>
  <c r="G381" i="5"/>
  <c r="G396" i="5"/>
  <c r="F409" i="5"/>
  <c r="G409" i="5" s="1"/>
  <c r="E668" i="5"/>
  <c r="E774" i="5" s="1"/>
  <c r="G644" i="5"/>
  <c r="G664" i="5"/>
  <c r="K245" i="3"/>
  <c r="K1015" i="3"/>
  <c r="K200" i="3"/>
  <c r="K16" i="3"/>
  <c r="K26" i="3"/>
  <c r="K47" i="3"/>
  <c r="K23" i="3"/>
  <c r="K37" i="3"/>
  <c r="K50" i="3"/>
  <c r="I1012" i="3"/>
  <c r="K10" i="3"/>
  <c r="K19" i="3"/>
  <c r="K79" i="3"/>
  <c r="J1012" i="3"/>
  <c r="I34" i="3"/>
  <c r="K41" i="3"/>
  <c r="K77" i="3"/>
  <c r="K35" i="3"/>
  <c r="K38" i="3"/>
  <c r="G186" i="5"/>
  <c r="F33" i="5"/>
  <c r="G33" i="5" s="1"/>
  <c r="G140" i="5"/>
  <c r="G96" i="5"/>
  <c r="G208" i="5"/>
  <c r="E207" i="5"/>
  <c r="F249" i="5"/>
  <c r="G343" i="5"/>
  <c r="G377" i="5"/>
  <c r="G379" i="5"/>
  <c r="E666" i="5"/>
  <c r="E766" i="5"/>
  <c r="E772" i="5" s="1"/>
  <c r="G731" i="5"/>
  <c r="G740" i="5"/>
  <c r="F771" i="5"/>
  <c r="G37" i="5"/>
  <c r="G56" i="5"/>
  <c r="E145" i="5"/>
  <c r="E144" i="5" s="1"/>
  <c r="G91" i="5"/>
  <c r="G128" i="5"/>
  <c r="F127" i="5"/>
  <c r="G127" i="5" s="1"/>
  <c r="G135" i="5"/>
  <c r="E169" i="5"/>
  <c r="G414" i="5"/>
  <c r="E413" i="5"/>
  <c r="G413" i="5" s="1"/>
  <c r="G428" i="5"/>
  <c r="F427" i="5"/>
  <c r="G427" i="5" s="1"/>
  <c r="G480" i="5"/>
  <c r="G524" i="5"/>
  <c r="G573" i="5"/>
  <c r="F584" i="5"/>
  <c r="G584" i="5" s="1"/>
  <c r="G583" i="5"/>
  <c r="G690" i="5"/>
  <c r="F689" i="5"/>
  <c r="G689" i="5" s="1"/>
  <c r="F504" i="5"/>
  <c r="G372" i="5"/>
  <c r="F371" i="5"/>
  <c r="G371" i="5" s="1"/>
  <c r="G654" i="5"/>
  <c r="F680" i="5"/>
  <c r="G680" i="5" s="1"/>
  <c r="G682" i="5"/>
  <c r="F681" i="5"/>
  <c r="G681" i="5" s="1"/>
  <c r="G708" i="5"/>
  <c r="F707" i="5"/>
  <c r="G707" i="5" s="1"/>
  <c r="F170" i="5"/>
  <c r="G163" i="5"/>
  <c r="F162" i="5"/>
  <c r="G162" i="5" s="1"/>
  <c r="G361" i="5"/>
  <c r="F360" i="5"/>
  <c r="G360" i="5" s="1"/>
  <c r="G433" i="5"/>
  <c r="F432" i="5"/>
  <c r="G432" i="5" s="1"/>
  <c r="G40" i="5"/>
  <c r="F76" i="5"/>
  <c r="G101" i="5"/>
  <c r="E506" i="5"/>
  <c r="E510" i="5" s="1"/>
  <c r="E773" i="5" s="1"/>
  <c r="E342" i="5"/>
  <c r="F505" i="5"/>
  <c r="G505" i="5" s="1"/>
  <c r="G481" i="5"/>
  <c r="F668" i="5"/>
  <c r="G525" i="5"/>
  <c r="G560" i="5"/>
  <c r="G607" i="5"/>
  <c r="F606" i="5"/>
  <c r="G606" i="5" s="1"/>
  <c r="G628" i="5"/>
  <c r="G717" i="5"/>
  <c r="G723" i="5"/>
  <c r="G726" i="5"/>
  <c r="F725" i="5"/>
  <c r="G725" i="5" s="1"/>
  <c r="F766" i="5"/>
  <c r="F764" i="5" s="1"/>
  <c r="G86" i="5"/>
  <c r="G114" i="5"/>
  <c r="F342" i="5"/>
  <c r="G342" i="5" s="1"/>
  <c r="F523" i="5"/>
  <c r="G523" i="5" s="1"/>
  <c r="F698" i="5"/>
  <c r="G698" i="5" s="1"/>
  <c r="F716" i="5"/>
  <c r="G716" i="5" s="1"/>
  <c r="F722" i="5"/>
  <c r="G722" i="5" s="1"/>
  <c r="F730" i="5"/>
  <c r="G730" i="5" s="1"/>
  <c r="F739" i="5"/>
  <c r="G739" i="5" s="1"/>
  <c r="F756" i="5"/>
  <c r="G756" i="5" s="1"/>
  <c r="J516" i="3" l="1"/>
  <c r="I518" i="3"/>
  <c r="I678" i="3" s="1"/>
  <c r="I520" i="3"/>
  <c r="K520" i="3" s="1"/>
  <c r="F773" i="5"/>
  <c r="G145" i="5"/>
  <c r="E75" i="5"/>
  <c r="F509" i="5"/>
  <c r="G509" i="5" s="1"/>
  <c r="K522" i="3"/>
  <c r="K1012" i="3"/>
  <c r="F666" i="5"/>
  <c r="G771" i="5"/>
  <c r="F144" i="5"/>
  <c r="G144" i="5" s="1"/>
  <c r="I228" i="3"/>
  <c r="I246" i="3"/>
  <c r="G54" i="5"/>
  <c r="G219" i="5"/>
  <c r="F218" i="5"/>
  <c r="G218" i="5" s="1"/>
  <c r="F70" i="5"/>
  <c r="G70" i="5" s="1"/>
  <c r="G78" i="5"/>
  <c r="E665" i="5"/>
  <c r="J60" i="3"/>
  <c r="K84" i="3"/>
  <c r="K82" i="3"/>
  <c r="K34" i="3"/>
  <c r="F774" i="5"/>
  <c r="G774" i="5" s="1"/>
  <c r="G668" i="5"/>
  <c r="E339" i="5"/>
  <c r="G207" i="5"/>
  <c r="G666" i="5"/>
  <c r="F665" i="5"/>
  <c r="G773" i="5"/>
  <c r="G766" i="5"/>
  <c r="G504" i="5"/>
  <c r="F503" i="5"/>
  <c r="G510" i="5"/>
  <c r="G76" i="5"/>
  <c r="F75" i="5"/>
  <c r="G75" i="5" s="1"/>
  <c r="F187" i="5"/>
  <c r="F169" i="5"/>
  <c r="G170" i="5"/>
  <c r="E764" i="5"/>
  <c r="G764" i="5" s="1"/>
  <c r="E503" i="5"/>
  <c r="G249" i="5"/>
  <c r="F248" i="5"/>
  <c r="G506" i="5"/>
  <c r="K518" i="3" l="1"/>
  <c r="I516" i="3"/>
  <c r="K516" i="3" s="1"/>
  <c r="J684" i="3"/>
  <c r="J1016" i="3" s="1"/>
  <c r="J675" i="3"/>
  <c r="G665" i="5"/>
  <c r="J76" i="3"/>
  <c r="K246" i="3"/>
  <c r="I243" i="3"/>
  <c r="K243" i="3" s="1"/>
  <c r="G187" i="5"/>
  <c r="J186" i="5"/>
  <c r="F185" i="5"/>
  <c r="G185" i="5" s="1"/>
  <c r="F772" i="5"/>
  <c r="G772" i="5" s="1"/>
  <c r="G248" i="5"/>
  <c r="F339" i="5"/>
  <c r="G503" i="5"/>
  <c r="E508" i="5"/>
  <c r="E338" i="5"/>
  <c r="I684" i="3" l="1"/>
  <c r="I675" i="3"/>
  <c r="K675" i="3" s="1"/>
  <c r="K678" i="3"/>
  <c r="J81" i="3"/>
  <c r="E507" i="5"/>
  <c r="E769" i="5"/>
  <c r="E768" i="5" s="1"/>
  <c r="F508" i="5"/>
  <c r="G339" i="5"/>
  <c r="F338" i="5"/>
  <c r="G338" i="5" s="1"/>
  <c r="K684" i="3" l="1"/>
  <c r="G508" i="5"/>
  <c r="F507" i="5"/>
  <c r="G507" i="5" s="1"/>
  <c r="F769" i="5"/>
  <c r="G769" i="5" l="1"/>
  <c r="F768" i="5"/>
  <c r="G768" i="5" s="1"/>
  <c r="F770" i="4" l="1"/>
  <c r="E770" i="4"/>
  <c r="G767" i="4"/>
  <c r="G766" i="4"/>
  <c r="G765" i="4"/>
  <c r="G764" i="4"/>
  <c r="G763" i="4"/>
  <c r="F762" i="4"/>
  <c r="F761" i="4" s="1"/>
  <c r="E762" i="4"/>
  <c r="G760" i="4"/>
  <c r="F759" i="4"/>
  <c r="G759" i="4" s="1"/>
  <c r="E759" i="4"/>
  <c r="E758" i="4" s="1"/>
  <c r="G757" i="4"/>
  <c r="G756" i="4"/>
  <c r="F756" i="4"/>
  <c r="E756" i="4"/>
  <c r="E755" i="4" s="1"/>
  <c r="F755" i="4"/>
  <c r="G754" i="4"/>
  <c r="G753" i="4"/>
  <c r="G752" i="4"/>
  <c r="G751" i="4"/>
  <c r="G750" i="4"/>
  <c r="G749" i="4"/>
  <c r="G748" i="4"/>
  <c r="F747" i="4"/>
  <c r="E747" i="4"/>
  <c r="E746" i="4" s="1"/>
  <c r="G745" i="4"/>
  <c r="G744" i="4"/>
  <c r="G743" i="4"/>
  <c r="G742" i="4"/>
  <c r="G740" i="4"/>
  <c r="F739" i="4"/>
  <c r="F738" i="4" s="1"/>
  <c r="E739" i="4"/>
  <c r="E738" i="4" s="1"/>
  <c r="G737" i="4"/>
  <c r="G736" i="4"/>
  <c r="G735" i="4"/>
  <c r="F734" i="4"/>
  <c r="E734" i="4"/>
  <c r="E733" i="4" s="1"/>
  <c r="G732" i="4"/>
  <c r="F731" i="4"/>
  <c r="F730" i="4" s="1"/>
  <c r="E731" i="4"/>
  <c r="E730" i="4" s="1"/>
  <c r="E693" i="4" s="1"/>
  <c r="G729" i="4"/>
  <c r="G728" i="4"/>
  <c r="F727" i="4"/>
  <c r="F726" i="4" s="1"/>
  <c r="E727" i="4"/>
  <c r="E726" i="4" s="1"/>
  <c r="G725" i="4"/>
  <c r="G724" i="4"/>
  <c r="F723" i="4"/>
  <c r="F722" i="4" s="1"/>
  <c r="E723" i="4"/>
  <c r="E722" i="4" s="1"/>
  <c r="G721" i="4"/>
  <c r="G720" i="4"/>
  <c r="G719" i="4"/>
  <c r="G718" i="4"/>
  <c r="G717" i="4"/>
  <c r="G716" i="4"/>
  <c r="F715" i="4"/>
  <c r="G715" i="4" s="1"/>
  <c r="E715" i="4"/>
  <c r="E714" i="4" s="1"/>
  <c r="F714" i="4"/>
  <c r="G713" i="4"/>
  <c r="G711" i="4"/>
  <c r="G710" i="4"/>
  <c r="G709" i="4"/>
  <c r="F706" i="4"/>
  <c r="F705" i="4" s="1"/>
  <c r="E706" i="4"/>
  <c r="G704" i="4"/>
  <c r="G702" i="4"/>
  <c r="G701" i="4"/>
  <c r="G700" i="4"/>
  <c r="G699" i="4"/>
  <c r="G698" i="4"/>
  <c r="F697" i="4"/>
  <c r="E697" i="4"/>
  <c r="F696" i="4"/>
  <c r="G695" i="4"/>
  <c r="F695" i="4"/>
  <c r="E695" i="4"/>
  <c r="F694" i="4"/>
  <c r="E694" i="4"/>
  <c r="F692" i="4"/>
  <c r="E692" i="4"/>
  <c r="F691" i="4"/>
  <c r="E691" i="4"/>
  <c r="F690" i="4"/>
  <c r="E690" i="4"/>
  <c r="F689" i="4"/>
  <c r="E689" i="4"/>
  <c r="G686" i="4"/>
  <c r="G685" i="4"/>
  <c r="G684" i="4"/>
  <c r="G683" i="4"/>
  <c r="G682" i="4"/>
  <c r="G681" i="4"/>
  <c r="G680" i="4"/>
  <c r="G679" i="4"/>
  <c r="F669" i="4"/>
  <c r="G668" i="4"/>
  <c r="G667" i="4"/>
  <c r="F666" i="4"/>
  <c r="E666" i="4"/>
  <c r="G665" i="4"/>
  <c r="G664" i="4"/>
  <c r="G663" i="4"/>
  <c r="G662" i="4"/>
  <c r="G661" i="4"/>
  <c r="G660" i="4"/>
  <c r="G658" i="4"/>
  <c r="G657" i="4"/>
  <c r="G656" i="4"/>
  <c r="G655" i="4"/>
  <c r="G654" i="4"/>
  <c r="F653" i="4"/>
  <c r="F659" i="4" s="1"/>
  <c r="E653" i="4"/>
  <c r="E659" i="4" s="1"/>
  <c r="G652" i="4"/>
  <c r="G651" i="4"/>
  <c r="F649" i="4"/>
  <c r="F674" i="4" s="1"/>
  <c r="E649" i="4"/>
  <c r="E674" i="4" s="1"/>
  <c r="F648" i="4"/>
  <c r="E648" i="4"/>
  <c r="G647" i="4"/>
  <c r="G646" i="4"/>
  <c r="G645" i="4"/>
  <c r="G644" i="4"/>
  <c r="G643" i="4"/>
  <c r="G642" i="4"/>
  <c r="G641" i="4"/>
  <c r="G640" i="4"/>
  <c r="F638" i="4"/>
  <c r="E638" i="4"/>
  <c r="F637" i="4"/>
  <c r="E637" i="4"/>
  <c r="G636" i="4"/>
  <c r="G635" i="4"/>
  <c r="F633" i="4"/>
  <c r="E633" i="4"/>
  <c r="F632" i="4"/>
  <c r="G632" i="4" s="1"/>
  <c r="E632" i="4"/>
  <c r="G631" i="4"/>
  <c r="G630" i="4"/>
  <c r="G629" i="4"/>
  <c r="G628" i="4"/>
  <c r="G627" i="4"/>
  <c r="G626" i="4"/>
  <c r="G625" i="4"/>
  <c r="G624" i="4"/>
  <c r="G623" i="4"/>
  <c r="G622" i="4"/>
  <c r="G621" i="4"/>
  <c r="G620" i="4"/>
  <c r="G619" i="4"/>
  <c r="G618" i="4"/>
  <c r="F615" i="4"/>
  <c r="E615" i="4"/>
  <c r="F614" i="4"/>
  <c r="E614" i="4"/>
  <c r="G612" i="4"/>
  <c r="G611" i="4"/>
  <c r="G610" i="4"/>
  <c r="G609" i="4"/>
  <c r="G608" i="4"/>
  <c r="G607" i="4"/>
  <c r="F606" i="4"/>
  <c r="E606" i="4"/>
  <c r="G605" i="4"/>
  <c r="G604" i="4"/>
  <c r="G603" i="4"/>
  <c r="G602" i="4"/>
  <c r="F601" i="4"/>
  <c r="E601" i="4"/>
  <c r="G601" i="4" s="1"/>
  <c r="G600" i="4"/>
  <c r="G599" i="4"/>
  <c r="F598" i="4"/>
  <c r="E598" i="4"/>
  <c r="G597" i="4"/>
  <c r="G596" i="4"/>
  <c r="F595" i="4"/>
  <c r="E595" i="4"/>
  <c r="G595" i="4" s="1"/>
  <c r="F592" i="4"/>
  <c r="F593" i="4" s="1"/>
  <c r="E592" i="4"/>
  <c r="E593" i="4" s="1"/>
  <c r="G591" i="4"/>
  <c r="G590" i="4"/>
  <c r="F587" i="4"/>
  <c r="F588" i="4" s="1"/>
  <c r="E587" i="4"/>
  <c r="E588" i="4" s="1"/>
  <c r="G586" i="4"/>
  <c r="G585" i="4"/>
  <c r="G587" i="4" s="1"/>
  <c r="G588" i="4" s="1"/>
  <c r="G584" i="4"/>
  <c r="G583" i="4"/>
  <c r="F581" i="4"/>
  <c r="E581" i="4"/>
  <c r="F580" i="4"/>
  <c r="E580" i="4"/>
  <c r="G579" i="4"/>
  <c r="G581" i="4" s="1"/>
  <c r="G578" i="4"/>
  <c r="G580" i="4" s="1"/>
  <c r="F576" i="4"/>
  <c r="E576" i="4"/>
  <c r="F575" i="4"/>
  <c r="E575" i="4"/>
  <c r="G574" i="4"/>
  <c r="G573" i="4"/>
  <c r="G572" i="4"/>
  <c r="G571" i="4"/>
  <c r="G570" i="4"/>
  <c r="G569" i="4"/>
  <c r="G568" i="4"/>
  <c r="G567" i="4"/>
  <c r="G566" i="4"/>
  <c r="G565" i="4"/>
  <c r="F563" i="4"/>
  <c r="E563" i="4"/>
  <c r="F562" i="4"/>
  <c r="E562" i="4"/>
  <c r="G562" i="4" s="1"/>
  <c r="G561" i="4"/>
  <c r="G560" i="4"/>
  <c r="G559" i="4"/>
  <c r="G558" i="4"/>
  <c r="G557" i="4"/>
  <c r="G556" i="4"/>
  <c r="G555" i="4"/>
  <c r="G554" i="4"/>
  <c r="F551" i="4"/>
  <c r="E551" i="4"/>
  <c r="F550" i="4"/>
  <c r="E550" i="4"/>
  <c r="G549" i="4"/>
  <c r="G548" i="4"/>
  <c r="G547" i="4"/>
  <c r="G546" i="4"/>
  <c r="G545" i="4"/>
  <c r="G544" i="4"/>
  <c r="F542" i="4"/>
  <c r="E542" i="4"/>
  <c r="F541" i="4"/>
  <c r="E541" i="4"/>
  <c r="G540" i="4"/>
  <c r="G539" i="4"/>
  <c r="G538" i="4"/>
  <c r="G537" i="4"/>
  <c r="G536" i="4"/>
  <c r="G535" i="4"/>
  <c r="G534" i="4"/>
  <c r="G533" i="4"/>
  <c r="G532" i="4"/>
  <c r="G531" i="4"/>
  <c r="G530" i="4"/>
  <c r="G529" i="4"/>
  <c r="F527" i="4"/>
  <c r="E527" i="4"/>
  <c r="E675" i="4" s="1"/>
  <c r="F526" i="4"/>
  <c r="E526" i="4"/>
  <c r="G524" i="4"/>
  <c r="G523" i="4"/>
  <c r="F522" i="4"/>
  <c r="E522" i="4"/>
  <c r="G522" i="4" s="1"/>
  <c r="G521" i="4"/>
  <c r="G520" i="4"/>
  <c r="G519" i="4"/>
  <c r="G518" i="4"/>
  <c r="G517" i="4"/>
  <c r="G516" i="4"/>
  <c r="G515" i="4"/>
  <c r="G514" i="4"/>
  <c r="E504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F485" i="4"/>
  <c r="G485" i="4" s="1"/>
  <c r="E485" i="4"/>
  <c r="G483" i="4"/>
  <c r="G482" i="4"/>
  <c r="F481" i="4"/>
  <c r="G481" i="4" s="1"/>
  <c r="G480" i="4"/>
  <c r="G479" i="4"/>
  <c r="G478" i="4"/>
  <c r="G477" i="4"/>
  <c r="G476" i="4"/>
  <c r="G475" i="4"/>
  <c r="G474" i="4"/>
  <c r="G473" i="4"/>
  <c r="F472" i="4"/>
  <c r="G472" i="4" s="1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G439" i="4"/>
  <c r="G438" i="4"/>
  <c r="G437" i="4"/>
  <c r="G436" i="4"/>
  <c r="G435" i="4"/>
  <c r="G434" i="4"/>
  <c r="G433" i="4"/>
  <c r="G431" i="4"/>
  <c r="G430" i="4"/>
  <c r="G429" i="4"/>
  <c r="G428" i="4"/>
  <c r="F426" i="4"/>
  <c r="G426" i="4" s="1"/>
  <c r="E426" i="4"/>
  <c r="G425" i="4"/>
  <c r="G423" i="4"/>
  <c r="G422" i="4"/>
  <c r="G421" i="4"/>
  <c r="G420" i="4"/>
  <c r="G419" i="4"/>
  <c r="G418" i="4"/>
  <c r="G415" i="4"/>
  <c r="G414" i="4"/>
  <c r="F412" i="4"/>
  <c r="E412" i="4"/>
  <c r="G411" i="4"/>
  <c r="G410" i="4"/>
  <c r="G409" i="4"/>
  <c r="G408" i="4"/>
  <c r="G407" i="4"/>
  <c r="F405" i="4"/>
  <c r="E405" i="4"/>
  <c r="G404" i="4"/>
  <c r="G403" i="4"/>
  <c r="G402" i="4"/>
  <c r="F400" i="4"/>
  <c r="E400" i="4"/>
  <c r="G399" i="4"/>
  <c r="G398" i="4"/>
  <c r="G397" i="4"/>
  <c r="F395" i="4"/>
  <c r="G395" i="4" s="1"/>
  <c r="E395" i="4"/>
  <c r="G394" i="4"/>
  <c r="G393" i="4"/>
  <c r="G392" i="4"/>
  <c r="G391" i="4"/>
  <c r="G390" i="4"/>
  <c r="G389" i="4"/>
  <c r="F387" i="4"/>
  <c r="E387" i="4"/>
  <c r="G386" i="4"/>
  <c r="G385" i="4"/>
  <c r="G384" i="4"/>
  <c r="F382" i="4"/>
  <c r="E382" i="4"/>
  <c r="E503" i="4" s="1"/>
  <c r="G381" i="4"/>
  <c r="G380" i="4"/>
  <c r="F378" i="4"/>
  <c r="F377" i="4" s="1"/>
  <c r="G377" i="4" s="1"/>
  <c r="E378" i="4"/>
  <c r="G378" i="4" s="1"/>
  <c r="G376" i="4"/>
  <c r="G375" i="4"/>
  <c r="G374" i="4"/>
  <c r="F372" i="4"/>
  <c r="G372" i="4" s="1"/>
  <c r="E372" i="4"/>
  <c r="G371" i="4"/>
  <c r="G370" i="4"/>
  <c r="G369" i="4"/>
  <c r="F367" i="4"/>
  <c r="F366" i="4" s="1"/>
  <c r="E367" i="4"/>
  <c r="G367" i="4" s="1"/>
  <c r="G365" i="4"/>
  <c r="F362" i="4"/>
  <c r="G362" i="4" s="1"/>
  <c r="E362" i="4"/>
  <c r="G361" i="4"/>
  <c r="G360" i="4"/>
  <c r="G359" i="4"/>
  <c r="G358" i="4"/>
  <c r="E356" i="4"/>
  <c r="G356" i="4" s="1"/>
  <c r="G355" i="4"/>
  <c r="G354" i="4"/>
  <c r="G353" i="4"/>
  <c r="F351" i="4"/>
  <c r="E351" i="4"/>
  <c r="G350" i="4"/>
  <c r="G349" i="4"/>
  <c r="G348" i="4"/>
  <c r="G347" i="4"/>
  <c r="F345" i="4"/>
  <c r="G345" i="4" s="1"/>
  <c r="E345" i="4"/>
  <c r="G344" i="4"/>
  <c r="G343" i="4"/>
  <c r="G342" i="4"/>
  <c r="G341" i="4"/>
  <c r="F339" i="4"/>
  <c r="G339" i="4" s="1"/>
  <c r="E339" i="4"/>
  <c r="G338" i="4"/>
  <c r="G337" i="4"/>
  <c r="G336" i="4"/>
  <c r="G335" i="4"/>
  <c r="F333" i="4"/>
  <c r="E333" i="4"/>
  <c r="G332" i="4"/>
  <c r="F330" i="4"/>
  <c r="E330" i="4"/>
  <c r="E510" i="4" s="1"/>
  <c r="F329" i="4"/>
  <c r="E329" i="4"/>
  <c r="E508" i="4" s="1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F220" i="4"/>
  <c r="F209" i="4" s="1"/>
  <c r="E220" i="4"/>
  <c r="G220" i="4" s="1"/>
  <c r="G219" i="4"/>
  <c r="F218" i="4"/>
  <c r="E218" i="4"/>
  <c r="G218" i="4" s="1"/>
  <c r="G217" i="4"/>
  <c r="G216" i="4"/>
  <c r="F214" i="4"/>
  <c r="E214" i="4"/>
  <c r="G213" i="4"/>
  <c r="E211" i="4"/>
  <c r="G207" i="4"/>
  <c r="G206" i="4"/>
  <c r="G205" i="4"/>
  <c r="G204" i="4"/>
  <c r="G203" i="4"/>
  <c r="G202" i="4"/>
  <c r="G201" i="4"/>
  <c r="G200" i="4"/>
  <c r="G199" i="4"/>
  <c r="G198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E176" i="4"/>
  <c r="F172" i="4"/>
  <c r="F171" i="4" s="1"/>
  <c r="E172" i="4"/>
  <c r="E171" i="4" s="1"/>
  <c r="G170" i="4"/>
  <c r="F169" i="4"/>
  <c r="E169" i="4"/>
  <c r="F167" i="4"/>
  <c r="F166" i="4" s="1"/>
  <c r="E166" i="4"/>
  <c r="G165" i="4"/>
  <c r="F164" i="4"/>
  <c r="E164" i="4"/>
  <c r="G162" i="4"/>
  <c r="F161" i="4"/>
  <c r="E161" i="4"/>
  <c r="G160" i="4"/>
  <c r="F159" i="4"/>
  <c r="E159" i="4"/>
  <c r="G150" i="4"/>
  <c r="G149" i="4"/>
  <c r="G148" i="4"/>
  <c r="F147" i="4"/>
  <c r="F152" i="4" s="1"/>
  <c r="E147" i="4"/>
  <c r="E146" i="4" s="1"/>
  <c r="F144" i="4"/>
  <c r="F174" i="4" s="1"/>
  <c r="E144" i="4"/>
  <c r="E174" i="4" s="1"/>
  <c r="F143" i="4"/>
  <c r="E143" i="4"/>
  <c r="G142" i="4"/>
  <c r="F141" i="4"/>
  <c r="E141" i="4"/>
  <c r="G140" i="4"/>
  <c r="E139" i="4"/>
  <c r="G139" i="4" s="1"/>
  <c r="G137" i="4"/>
  <c r="G136" i="4"/>
  <c r="G135" i="4"/>
  <c r="F134" i="4"/>
  <c r="E134" i="4"/>
  <c r="F130" i="4"/>
  <c r="G130" i="4" s="1"/>
  <c r="E130" i="4"/>
  <c r="G127" i="4"/>
  <c r="G126" i="4"/>
  <c r="F125" i="4"/>
  <c r="E125" i="4"/>
  <c r="F124" i="4"/>
  <c r="E124" i="4"/>
  <c r="G123" i="4"/>
  <c r="G122" i="4"/>
  <c r="G121" i="4"/>
  <c r="G120" i="4"/>
  <c r="G119" i="4"/>
  <c r="G118" i="4"/>
  <c r="F116" i="4"/>
  <c r="E116" i="4"/>
  <c r="F115" i="4"/>
  <c r="E115" i="4"/>
  <c r="G114" i="4"/>
  <c r="G113" i="4"/>
  <c r="G112" i="4"/>
  <c r="G111" i="4"/>
  <c r="E108" i="4"/>
  <c r="E107" i="4"/>
  <c r="F104" i="4"/>
  <c r="G104" i="4" s="1"/>
  <c r="G101" i="4"/>
  <c r="G100" i="4"/>
  <c r="G99" i="4"/>
  <c r="G98" i="4"/>
  <c r="G97" i="4"/>
  <c r="G96" i="4"/>
  <c r="G95" i="4"/>
  <c r="G94" i="4"/>
  <c r="G93" i="4"/>
  <c r="F92" i="4"/>
  <c r="G92" i="4" s="1"/>
  <c r="F90" i="4"/>
  <c r="E90" i="4"/>
  <c r="F89" i="4"/>
  <c r="E89" i="4"/>
  <c r="G88" i="4"/>
  <c r="G87" i="4"/>
  <c r="G86" i="4"/>
  <c r="G85" i="4"/>
  <c r="G84" i="4"/>
  <c r="G83" i="4"/>
  <c r="F81" i="4"/>
  <c r="E81" i="4"/>
  <c r="F80" i="4"/>
  <c r="E80" i="4"/>
  <c r="G79" i="4"/>
  <c r="G78" i="4"/>
  <c r="G77" i="4"/>
  <c r="G76" i="4"/>
  <c r="G74" i="4"/>
  <c r="G73" i="4"/>
  <c r="G72" i="4"/>
  <c r="G71" i="4"/>
  <c r="G69" i="4"/>
  <c r="G68" i="4"/>
  <c r="G67" i="4"/>
  <c r="G66" i="4"/>
  <c r="F64" i="4"/>
  <c r="E64" i="4"/>
  <c r="F63" i="4"/>
  <c r="G63" i="4" s="1"/>
  <c r="E63" i="4"/>
  <c r="G62" i="4"/>
  <c r="G61" i="4"/>
  <c r="G60" i="4"/>
  <c r="G59" i="4"/>
  <c r="F52" i="4"/>
  <c r="E52" i="4"/>
  <c r="E50" i="4" s="1"/>
  <c r="F51" i="4"/>
  <c r="E51" i="4"/>
  <c r="G49" i="4"/>
  <c r="F48" i="4"/>
  <c r="E48" i="4"/>
  <c r="G47" i="4"/>
  <c r="F46" i="4"/>
  <c r="E46" i="4"/>
  <c r="G45" i="4"/>
  <c r="F44" i="4"/>
  <c r="E44" i="4"/>
  <c r="G43" i="4"/>
  <c r="F42" i="4"/>
  <c r="E42" i="4"/>
  <c r="G41" i="4"/>
  <c r="F40" i="4"/>
  <c r="E40" i="4"/>
  <c r="G38" i="4"/>
  <c r="F37" i="4"/>
  <c r="E37" i="4"/>
  <c r="G34" i="4"/>
  <c r="F33" i="4"/>
  <c r="E33" i="4"/>
  <c r="F30" i="4"/>
  <c r="E30" i="4"/>
  <c r="G30" i="4" s="1"/>
  <c r="F29" i="4"/>
  <c r="E29" i="4"/>
  <c r="G26" i="4"/>
  <c r="F25" i="4"/>
  <c r="G25" i="4" s="1"/>
  <c r="E25" i="4"/>
  <c r="G23" i="4"/>
  <c r="G22" i="4"/>
  <c r="G21" i="4"/>
  <c r="F21" i="4"/>
  <c r="E21" i="4"/>
  <c r="G20" i="4"/>
  <c r="G19" i="4"/>
  <c r="F18" i="4"/>
  <c r="E18" i="4"/>
  <c r="G18" i="4" s="1"/>
  <c r="G17" i="4"/>
  <c r="G16" i="4"/>
  <c r="F15" i="4"/>
  <c r="E15" i="4"/>
  <c r="G14" i="4"/>
  <c r="G13" i="4"/>
  <c r="G11" i="4"/>
  <c r="G10" i="4"/>
  <c r="F9" i="4"/>
  <c r="E9" i="4"/>
  <c r="G37" i="4" l="1"/>
  <c r="F28" i="4"/>
  <c r="E54" i="4"/>
  <c r="G115" i="4"/>
  <c r="F146" i="4"/>
  <c r="G166" i="4"/>
  <c r="G351" i="4"/>
  <c r="G541" i="4"/>
  <c r="G551" i="4"/>
  <c r="G563" i="4"/>
  <c r="G633" i="4"/>
  <c r="G722" i="4"/>
  <c r="G9" i="4"/>
  <c r="G329" i="4"/>
  <c r="G412" i="4"/>
  <c r="F508" i="4"/>
  <c r="G550" i="4"/>
  <c r="G691" i="4"/>
  <c r="G727" i="4"/>
  <c r="G730" i="4"/>
  <c r="G46" i="4"/>
  <c r="F55" i="4"/>
  <c r="G64" i="4"/>
  <c r="F108" i="4"/>
  <c r="G108" i="4" s="1"/>
  <c r="G124" i="4"/>
  <c r="G134" i="4"/>
  <c r="G405" i="4"/>
  <c r="G592" i="4"/>
  <c r="G116" i="4"/>
  <c r="G143" i="4"/>
  <c r="G542" i="4"/>
  <c r="G649" i="4"/>
  <c r="G694" i="4"/>
  <c r="G739" i="4"/>
  <c r="G747" i="4"/>
  <c r="G508" i="4"/>
  <c r="G29" i="4"/>
  <c r="E129" i="4"/>
  <c r="E128" i="4" s="1"/>
  <c r="G167" i="4"/>
  <c r="G52" i="4"/>
  <c r="G161" i="4"/>
  <c r="G387" i="4"/>
  <c r="G576" i="4"/>
  <c r="G606" i="4"/>
  <c r="G614" i="4"/>
  <c r="G637" i="4"/>
  <c r="G648" i="4"/>
  <c r="I868" i="3"/>
  <c r="I867" i="3" s="1"/>
  <c r="E771" i="4"/>
  <c r="G723" i="4"/>
  <c r="G731" i="4"/>
  <c r="G734" i="4"/>
  <c r="G80" i="4"/>
  <c r="G90" i="4"/>
  <c r="G382" i="4"/>
  <c r="G141" i="4"/>
  <c r="F176" i="4"/>
  <c r="G176" i="4" s="1"/>
  <c r="G40" i="4"/>
  <c r="G48" i="4"/>
  <c r="F54" i="4"/>
  <c r="G81" i="4"/>
  <c r="G159" i="4"/>
  <c r="G169" i="4"/>
  <c r="G172" i="4"/>
  <c r="G214" i="4"/>
  <c r="G400" i="4"/>
  <c r="G504" i="4"/>
  <c r="E777" i="4"/>
  <c r="G575" i="4"/>
  <c r="G598" i="4"/>
  <c r="G638" i="4"/>
  <c r="G692" i="4"/>
  <c r="G706" i="4"/>
  <c r="F771" i="4"/>
  <c r="F769" i="4" s="1"/>
  <c r="G762" i="4"/>
  <c r="G770" i="4"/>
  <c r="G659" i="4"/>
  <c r="F671" i="4"/>
  <c r="F673" i="4" s="1"/>
  <c r="G33" i="4"/>
  <c r="G51" i="4"/>
  <c r="F525" i="4"/>
  <c r="G527" i="4"/>
  <c r="G666" i="4"/>
  <c r="E669" i="4"/>
  <c r="G669" i="4" s="1"/>
  <c r="G15" i="4"/>
  <c r="G42" i="4"/>
  <c r="F50" i="4"/>
  <c r="G50" i="4" s="1"/>
  <c r="G89" i="4"/>
  <c r="G144" i="4"/>
  <c r="G147" i="4"/>
  <c r="G174" i="4"/>
  <c r="G211" i="4"/>
  <c r="E209" i="4"/>
  <c r="E208" i="4" s="1"/>
  <c r="E328" i="4" s="1"/>
  <c r="F505" i="4"/>
  <c r="G333" i="4"/>
  <c r="G526" i="4"/>
  <c r="E525" i="4"/>
  <c r="G615" i="4"/>
  <c r="E613" i="4"/>
  <c r="E670" i="4"/>
  <c r="F675" i="4"/>
  <c r="G714" i="4"/>
  <c r="G726" i="4"/>
  <c r="G755" i="4"/>
  <c r="G44" i="4"/>
  <c r="E55" i="4"/>
  <c r="G55" i="4" s="1"/>
  <c r="F129" i="4"/>
  <c r="F175" i="4"/>
  <c r="F173" i="4" s="1"/>
  <c r="F151" i="4"/>
  <c r="F208" i="4"/>
  <c r="E28" i="4"/>
  <c r="G28" i="4" s="1"/>
  <c r="F107" i="4"/>
  <c r="G107" i="4" s="1"/>
  <c r="G146" i="4"/>
  <c r="E152" i="4"/>
  <c r="G330" i="4"/>
  <c r="F510" i="4"/>
  <c r="G510" i="4" s="1"/>
  <c r="E505" i="4"/>
  <c r="E509" i="4" s="1"/>
  <c r="G366" i="4"/>
  <c r="F503" i="4"/>
  <c r="G593" i="4"/>
  <c r="G674" i="4"/>
  <c r="G690" i="4"/>
  <c r="E769" i="4"/>
  <c r="G738" i="4"/>
  <c r="F670" i="4"/>
  <c r="G670" i="4" s="1"/>
  <c r="G653" i="4"/>
  <c r="G689" i="4"/>
  <c r="E687" i="4"/>
  <c r="E688" i="4"/>
  <c r="G771" i="4"/>
  <c r="F693" i="4"/>
  <c r="G693" i="4" s="1"/>
  <c r="E696" i="4"/>
  <c r="G696" i="4" s="1"/>
  <c r="E705" i="4"/>
  <c r="G705" i="4" s="1"/>
  <c r="E761" i="4"/>
  <c r="G761" i="4" s="1"/>
  <c r="G697" i="4"/>
  <c r="F613" i="4"/>
  <c r="G613" i="4" s="1"/>
  <c r="F733" i="4"/>
  <c r="G733" i="4" s="1"/>
  <c r="F746" i="4"/>
  <c r="G746" i="4" s="1"/>
  <c r="F758" i="4"/>
  <c r="G758" i="4" s="1"/>
  <c r="G54" i="4" l="1"/>
  <c r="F53" i="4"/>
  <c r="F687" i="4"/>
  <c r="G687" i="4" s="1"/>
  <c r="E502" i="4"/>
  <c r="E671" i="4"/>
  <c r="E673" i="4" s="1"/>
  <c r="E672" i="4" s="1"/>
  <c r="G525" i="4"/>
  <c r="F672" i="4"/>
  <c r="G769" i="4"/>
  <c r="G503" i="4"/>
  <c r="F502" i="4"/>
  <c r="G502" i="4" s="1"/>
  <c r="F777" i="4"/>
  <c r="G777" i="4" s="1"/>
  <c r="G675" i="4"/>
  <c r="F509" i="4"/>
  <c r="G505" i="4"/>
  <c r="E175" i="4"/>
  <c r="G152" i="4"/>
  <c r="E151" i="4"/>
  <c r="F328" i="4"/>
  <c r="G208" i="4"/>
  <c r="G129" i="4"/>
  <c r="F128" i="4"/>
  <c r="G128" i="4" s="1"/>
  <c r="E507" i="4"/>
  <c r="E327" i="4"/>
  <c r="F775" i="4"/>
  <c r="F688" i="4"/>
  <c r="G688" i="4" s="1"/>
  <c r="G209" i="4"/>
  <c r="E776" i="4"/>
  <c r="G671" i="4"/>
  <c r="E53" i="4"/>
  <c r="G53" i="4" s="1"/>
  <c r="G672" i="4" l="1"/>
  <c r="G673" i="4"/>
  <c r="G509" i="4"/>
  <c r="F776" i="4"/>
  <c r="G776" i="4" s="1"/>
  <c r="E173" i="4"/>
  <c r="G173" i="4" s="1"/>
  <c r="E775" i="4"/>
  <c r="G775" i="4" s="1"/>
  <c r="E506" i="4"/>
  <c r="E774" i="4"/>
  <c r="F507" i="4"/>
  <c r="G328" i="4"/>
  <c r="F327" i="4"/>
  <c r="G327" i="4" s="1"/>
  <c r="G175" i="4"/>
  <c r="G507" i="4" l="1"/>
  <c r="F506" i="4"/>
  <c r="G506" i="4" s="1"/>
  <c r="F774" i="4"/>
  <c r="E773" i="4"/>
  <c r="G774" i="4" l="1"/>
  <c r="F773" i="4"/>
  <c r="G773" i="4" s="1"/>
  <c r="F965" i="3" l="1"/>
  <c r="G960" i="3"/>
  <c r="G959" i="3"/>
  <c r="G958" i="3"/>
  <c r="G957" i="3"/>
  <c r="G956" i="3"/>
  <c r="G955" i="3"/>
  <c r="F954" i="3"/>
  <c r="F953" i="3" s="1"/>
  <c r="E954" i="3"/>
  <c r="F950" i="3"/>
  <c r="E950" i="3"/>
  <c r="E949" i="3" s="1"/>
  <c r="G944" i="3"/>
  <c r="F943" i="3"/>
  <c r="E943" i="3"/>
  <c r="E942" i="3" s="1"/>
  <c r="G941" i="3"/>
  <c r="G940" i="3"/>
  <c r="G939" i="3"/>
  <c r="G938" i="3"/>
  <c r="G937" i="3"/>
  <c r="G936" i="3"/>
  <c r="G935" i="3"/>
  <c r="F934" i="3"/>
  <c r="F933" i="3" s="1"/>
  <c r="E934" i="3"/>
  <c r="G932" i="3"/>
  <c r="G931" i="3"/>
  <c r="G930" i="3"/>
  <c r="G929" i="3"/>
  <c r="G926" i="3"/>
  <c r="F925" i="3"/>
  <c r="F924" i="3" s="1"/>
  <c r="E925" i="3"/>
  <c r="G919" i="3"/>
  <c r="E917" i="3"/>
  <c r="G912" i="3"/>
  <c r="F910" i="3"/>
  <c r="E910" i="3"/>
  <c r="G906" i="3"/>
  <c r="G905" i="3"/>
  <c r="F903" i="3"/>
  <c r="E903" i="3"/>
  <c r="G902" i="3"/>
  <c r="G901" i="3"/>
  <c r="G900" i="3"/>
  <c r="G899" i="3"/>
  <c r="G898" i="3"/>
  <c r="G897" i="3"/>
  <c r="G896" i="3"/>
  <c r="F895" i="3"/>
  <c r="F894" i="3" s="1"/>
  <c r="E895" i="3"/>
  <c r="E894" i="3" s="1"/>
  <c r="G893" i="3"/>
  <c r="G892" i="3"/>
  <c r="G890" i="3"/>
  <c r="G889" i="3"/>
  <c r="G888" i="3"/>
  <c r="F886" i="3"/>
  <c r="F885" i="3" s="1"/>
  <c r="E886" i="3"/>
  <c r="E885" i="3" s="1"/>
  <c r="G884" i="3"/>
  <c r="G883" i="3"/>
  <c r="G882" i="3"/>
  <c r="G881" i="3"/>
  <c r="G880" i="3"/>
  <c r="G879" i="3"/>
  <c r="G878" i="3"/>
  <c r="F877" i="3"/>
  <c r="E877" i="3"/>
  <c r="K875" i="3"/>
  <c r="K874" i="3"/>
  <c r="K873" i="3"/>
  <c r="K872" i="3"/>
  <c r="K871" i="3"/>
  <c r="K870" i="3"/>
  <c r="G866" i="3"/>
  <c r="G865" i="3"/>
  <c r="G864" i="3"/>
  <c r="G863" i="3"/>
  <c r="G862" i="3"/>
  <c r="G861" i="3"/>
  <c r="G860" i="3"/>
  <c r="G859" i="3"/>
  <c r="G849" i="3"/>
  <c r="G848" i="3"/>
  <c r="G847" i="3"/>
  <c r="G845" i="3"/>
  <c r="G844" i="3"/>
  <c r="G839" i="3"/>
  <c r="G838" i="3"/>
  <c r="G836" i="3"/>
  <c r="G835" i="3"/>
  <c r="G834" i="3"/>
  <c r="G833" i="3"/>
  <c r="G832" i="3"/>
  <c r="G830" i="3"/>
  <c r="G829" i="3"/>
  <c r="F827" i="3"/>
  <c r="F854" i="3" s="1"/>
  <c r="E827" i="3"/>
  <c r="G825" i="3"/>
  <c r="G824" i="3"/>
  <c r="G823" i="3"/>
  <c r="G822" i="3"/>
  <c r="G821" i="3"/>
  <c r="G820" i="3"/>
  <c r="G819" i="3"/>
  <c r="G818" i="3"/>
  <c r="G816" i="3"/>
  <c r="G814" i="3"/>
  <c r="G813" i="3"/>
  <c r="F811" i="3"/>
  <c r="F810" i="3" s="1"/>
  <c r="E811" i="3"/>
  <c r="E810" i="3" s="1"/>
  <c r="G807" i="3"/>
  <c r="G806" i="3"/>
  <c r="G805" i="3"/>
  <c r="G804" i="3"/>
  <c r="G803" i="3"/>
  <c r="G802" i="3"/>
  <c r="G801" i="3"/>
  <c r="G800" i="3"/>
  <c r="G799" i="3"/>
  <c r="G798" i="3"/>
  <c r="G797" i="3"/>
  <c r="G796" i="3"/>
  <c r="G795" i="3"/>
  <c r="G794" i="3"/>
  <c r="F792" i="3"/>
  <c r="F855" i="3" s="1"/>
  <c r="E792" i="3"/>
  <c r="G787" i="3"/>
  <c r="G784" i="3"/>
  <c r="G783" i="3"/>
  <c r="G782" i="3"/>
  <c r="G781" i="3"/>
  <c r="F780" i="3"/>
  <c r="E780" i="3"/>
  <c r="G779" i="3"/>
  <c r="G778" i="3"/>
  <c r="G777" i="3"/>
  <c r="G776" i="3"/>
  <c r="F775" i="3"/>
  <c r="E775" i="3"/>
  <c r="G774" i="3"/>
  <c r="G773" i="3"/>
  <c r="F772" i="3"/>
  <c r="E772" i="3"/>
  <c r="G771" i="3"/>
  <c r="G770" i="3"/>
  <c r="F769" i="3"/>
  <c r="E769" i="3"/>
  <c r="G764" i="3"/>
  <c r="F755" i="3"/>
  <c r="F754" i="3" s="1"/>
  <c r="G753" i="3"/>
  <c r="G755" i="3" s="1"/>
  <c r="G752" i="3"/>
  <c r="G754" i="3" s="1"/>
  <c r="F750" i="3"/>
  <c r="E750" i="3"/>
  <c r="F749" i="3"/>
  <c r="E749" i="3"/>
  <c r="G746" i="3"/>
  <c r="G745" i="3"/>
  <c r="G744" i="3"/>
  <c r="G743" i="3"/>
  <c r="G742" i="3"/>
  <c r="G741" i="3"/>
  <c r="G740" i="3"/>
  <c r="G739" i="3"/>
  <c r="F737" i="3"/>
  <c r="E737" i="3"/>
  <c r="F736" i="3"/>
  <c r="E736" i="3"/>
  <c r="G735" i="3"/>
  <c r="G734" i="3"/>
  <c r="G733" i="3"/>
  <c r="G732" i="3"/>
  <c r="G731" i="3"/>
  <c r="G730" i="3"/>
  <c r="G729" i="3"/>
  <c r="G728" i="3"/>
  <c r="F725" i="3"/>
  <c r="E725" i="3"/>
  <c r="F724" i="3"/>
  <c r="E724" i="3"/>
  <c r="G723" i="3"/>
  <c r="G722" i="3"/>
  <c r="G721" i="3"/>
  <c r="G720" i="3"/>
  <c r="G719" i="3"/>
  <c r="G718" i="3"/>
  <c r="F716" i="3"/>
  <c r="E715" i="3"/>
  <c r="G714" i="3"/>
  <c r="G713" i="3"/>
  <c r="G712" i="3"/>
  <c r="G711" i="3"/>
  <c r="G710" i="3"/>
  <c r="G709" i="3"/>
  <c r="G708" i="3"/>
  <c r="G707" i="3"/>
  <c r="G706" i="3"/>
  <c r="G705" i="3"/>
  <c r="G704" i="3"/>
  <c r="G703" i="3"/>
  <c r="E701" i="3"/>
  <c r="G698" i="3"/>
  <c r="G697" i="3"/>
  <c r="F696" i="3"/>
  <c r="E696" i="3"/>
  <c r="G695" i="3"/>
  <c r="G694" i="3"/>
  <c r="G691" i="3"/>
  <c r="G690" i="3"/>
  <c r="G689" i="3"/>
  <c r="G688" i="3"/>
  <c r="G674" i="3"/>
  <c r="G673" i="3"/>
  <c r="G672" i="3"/>
  <c r="G671" i="3"/>
  <c r="G670" i="3"/>
  <c r="G669" i="3"/>
  <c r="G668" i="3"/>
  <c r="G667" i="3"/>
  <c r="G664" i="3"/>
  <c r="G663" i="3"/>
  <c r="G662" i="3"/>
  <c r="G661" i="3"/>
  <c r="G660" i="3"/>
  <c r="G659" i="3"/>
  <c r="G656" i="3"/>
  <c r="G655" i="3"/>
  <c r="G649" i="3"/>
  <c r="G648" i="3"/>
  <c r="G645" i="3"/>
  <c r="G644" i="3"/>
  <c r="G643" i="3"/>
  <c r="G642" i="3"/>
  <c r="G633" i="3"/>
  <c r="G632" i="3"/>
  <c r="G631" i="3"/>
  <c r="G630" i="3"/>
  <c r="G629" i="3"/>
  <c r="G628" i="3"/>
  <c r="G627" i="3"/>
  <c r="G626" i="3"/>
  <c r="G625" i="3"/>
  <c r="G624" i="3"/>
  <c r="G623" i="3"/>
  <c r="G622" i="3"/>
  <c r="G617" i="3"/>
  <c r="G616" i="3"/>
  <c r="G615" i="3"/>
  <c r="G614" i="3"/>
  <c r="G613" i="3"/>
  <c r="G612" i="3"/>
  <c r="G601" i="3"/>
  <c r="E600" i="3"/>
  <c r="G594" i="3"/>
  <c r="G593" i="3"/>
  <c r="G591" i="3"/>
  <c r="G590" i="3"/>
  <c r="G585" i="3"/>
  <c r="G584" i="3"/>
  <c r="G583" i="3"/>
  <c r="G582" i="3"/>
  <c r="G581" i="3"/>
  <c r="G580" i="3"/>
  <c r="G579" i="3"/>
  <c r="G578" i="3"/>
  <c r="F574" i="3"/>
  <c r="E574" i="3"/>
  <c r="E573" i="3" s="1"/>
  <c r="G570" i="3"/>
  <c r="G569" i="3"/>
  <c r="F567" i="3"/>
  <c r="E567" i="3"/>
  <c r="E566" i="3" s="1"/>
  <c r="G565" i="3"/>
  <c r="G564" i="3"/>
  <c r="G563" i="3"/>
  <c r="G562" i="3"/>
  <c r="G561" i="3"/>
  <c r="G560" i="3"/>
  <c r="G556" i="3"/>
  <c r="G553" i="3"/>
  <c r="G549" i="3"/>
  <c r="F546" i="3"/>
  <c r="E546" i="3"/>
  <c r="G544" i="3"/>
  <c r="E541" i="3"/>
  <c r="G539" i="3"/>
  <c r="E536" i="3"/>
  <c r="F536" i="3"/>
  <c r="G531" i="3"/>
  <c r="G530" i="3"/>
  <c r="G529" i="3"/>
  <c r="F527" i="3"/>
  <c r="F526" i="3" s="1"/>
  <c r="E527" i="3"/>
  <c r="E526" i="3" s="1"/>
  <c r="F523" i="3"/>
  <c r="E523" i="3"/>
  <c r="F513" i="3"/>
  <c r="E513" i="3"/>
  <c r="F510" i="3"/>
  <c r="E510" i="3"/>
  <c r="F507" i="3"/>
  <c r="E507" i="3"/>
  <c r="F505" i="3"/>
  <c r="E505" i="3"/>
  <c r="F504" i="3"/>
  <c r="E504" i="3"/>
  <c r="G495" i="3"/>
  <c r="F492" i="3"/>
  <c r="F676" i="3" s="1"/>
  <c r="E492" i="3"/>
  <c r="G490" i="3"/>
  <c r="G489" i="3"/>
  <c r="G488" i="3"/>
  <c r="F486" i="3"/>
  <c r="F485" i="3" s="1"/>
  <c r="E486" i="3"/>
  <c r="E485" i="3" s="1"/>
  <c r="G484" i="3"/>
  <c r="F481" i="3"/>
  <c r="E481" i="3"/>
  <c r="E480" i="3" s="1"/>
  <c r="G479" i="3"/>
  <c r="G478" i="3"/>
  <c r="G477" i="3"/>
  <c r="F475" i="3"/>
  <c r="F474" i="3" s="1"/>
  <c r="E475" i="3"/>
  <c r="E474" i="3" s="1"/>
  <c r="G473" i="3"/>
  <c r="G472" i="3"/>
  <c r="G471" i="3"/>
  <c r="F469" i="3"/>
  <c r="E469" i="3"/>
  <c r="E468" i="3" s="1"/>
  <c r="G467" i="3"/>
  <c r="G466" i="3"/>
  <c r="G465" i="3"/>
  <c r="F463" i="3"/>
  <c r="E463" i="3"/>
  <c r="E678" i="3" s="1"/>
  <c r="E684" i="3" s="1"/>
  <c r="G444" i="3"/>
  <c r="G443" i="3"/>
  <c r="G442" i="3"/>
  <c r="G441" i="3"/>
  <c r="G440" i="3"/>
  <c r="G439" i="3"/>
  <c r="G430" i="3"/>
  <c r="G429" i="3"/>
  <c r="G427" i="3"/>
  <c r="G426" i="3"/>
  <c r="G421" i="3"/>
  <c r="G420" i="3"/>
  <c r="G417" i="3"/>
  <c r="G416" i="3"/>
  <c r="G411" i="3"/>
  <c r="G410" i="3"/>
  <c r="G409" i="3"/>
  <c r="G408" i="3"/>
  <c r="G407" i="3"/>
  <c r="G406" i="3"/>
  <c r="G405" i="3"/>
  <c r="G404" i="3"/>
  <c r="G368" i="3"/>
  <c r="G367" i="3"/>
  <c r="G364" i="3"/>
  <c r="G363" i="3"/>
  <c r="G358" i="3"/>
  <c r="G357" i="3"/>
  <c r="G355" i="3"/>
  <c r="G354" i="3"/>
  <c r="G353" i="3"/>
  <c r="G352" i="3"/>
  <c r="G351" i="3"/>
  <c r="G350" i="3"/>
  <c r="G340" i="3"/>
  <c r="G339" i="3"/>
  <c r="G337" i="3"/>
  <c r="G336" i="3"/>
  <c r="G335" i="3"/>
  <c r="G334" i="3"/>
  <c r="G327" i="3"/>
  <c r="G326" i="3"/>
  <c r="G323" i="3"/>
  <c r="G319" i="3"/>
  <c r="G318" i="3"/>
  <c r="G315" i="3"/>
  <c r="G314" i="3"/>
  <c r="G309" i="3"/>
  <c r="G308" i="3"/>
  <c r="G307" i="3"/>
  <c r="G306" i="3"/>
  <c r="G299" i="3"/>
  <c r="F297" i="3"/>
  <c r="E297" i="3"/>
  <c r="G296" i="3"/>
  <c r="F294" i="3"/>
  <c r="E294" i="3"/>
  <c r="G293" i="3"/>
  <c r="G292" i="3"/>
  <c r="F290" i="3"/>
  <c r="E290" i="3"/>
  <c r="G289" i="3"/>
  <c r="F286" i="3"/>
  <c r="G278" i="3"/>
  <c r="G277" i="3"/>
  <c r="G273" i="3"/>
  <c r="F271" i="3"/>
  <c r="E271" i="3"/>
  <c r="G267" i="3"/>
  <c r="G266" i="3"/>
  <c r="G261" i="3"/>
  <c r="G260" i="3"/>
  <c r="G253" i="3"/>
  <c r="G252" i="3"/>
  <c r="G251" i="3"/>
  <c r="G250" i="3"/>
  <c r="G215" i="3"/>
  <c r="F214" i="3"/>
  <c r="E214" i="3"/>
  <c r="G213" i="3"/>
  <c r="F212" i="3"/>
  <c r="E212" i="3"/>
  <c r="G197" i="3"/>
  <c r="F194" i="3"/>
  <c r="E194" i="3"/>
  <c r="E193" i="3" s="1"/>
  <c r="F189" i="3"/>
  <c r="G186" i="3"/>
  <c r="F185" i="3"/>
  <c r="E185" i="3"/>
  <c r="G184" i="3"/>
  <c r="F183" i="3"/>
  <c r="E183" i="3"/>
  <c r="G171" i="3"/>
  <c r="G170" i="3"/>
  <c r="G165" i="3"/>
  <c r="G164" i="3"/>
  <c r="E147" i="3"/>
  <c r="G143" i="3"/>
  <c r="G142" i="3"/>
  <c r="G141" i="3"/>
  <c r="G140" i="3"/>
  <c r="G137" i="3"/>
  <c r="G136" i="3"/>
  <c r="G127" i="3"/>
  <c r="F126" i="3"/>
  <c r="E122" i="3"/>
  <c r="F121" i="3"/>
  <c r="E121" i="3"/>
  <c r="G120" i="3"/>
  <c r="G119" i="3"/>
  <c r="G118" i="3"/>
  <c r="G117" i="3"/>
  <c r="G116" i="3"/>
  <c r="G115" i="3"/>
  <c r="G111" i="3"/>
  <c r="G110" i="3"/>
  <c r="E106" i="3"/>
  <c r="F105" i="3"/>
  <c r="E105" i="3"/>
  <c r="G104" i="3"/>
  <c r="G103" i="3"/>
  <c r="G97" i="3"/>
  <c r="G96" i="3"/>
  <c r="E93" i="3"/>
  <c r="F92" i="3"/>
  <c r="E92" i="3"/>
  <c r="G90" i="3"/>
  <c r="G89" i="3"/>
  <c r="G75" i="3"/>
  <c r="F74" i="3"/>
  <c r="E74" i="3"/>
  <c r="G73" i="3"/>
  <c r="F72" i="3"/>
  <c r="E72" i="3"/>
  <c r="G71" i="3"/>
  <c r="F70" i="3"/>
  <c r="E70" i="3"/>
  <c r="G69" i="3"/>
  <c r="G68" i="3"/>
  <c r="F67" i="3"/>
  <c r="E67" i="3"/>
  <c r="G66" i="3"/>
  <c r="G65" i="3"/>
  <c r="F64" i="3"/>
  <c r="E64" i="3"/>
  <c r="F80" i="3"/>
  <c r="E62" i="3"/>
  <c r="G61" i="3"/>
  <c r="G57" i="3"/>
  <c r="F56" i="3"/>
  <c r="E56" i="3"/>
  <c r="G43" i="3"/>
  <c r="G42" i="3"/>
  <c r="F41" i="3"/>
  <c r="E41" i="3"/>
  <c r="F37" i="3"/>
  <c r="F84" i="3" s="1"/>
  <c r="G28" i="3"/>
  <c r="F26" i="3"/>
  <c r="E26" i="3"/>
  <c r="G21" i="3"/>
  <c r="G20" i="3"/>
  <c r="F19" i="3"/>
  <c r="E19" i="3"/>
  <c r="G18" i="3"/>
  <c r="G17" i="3"/>
  <c r="F16" i="3"/>
  <c r="E16" i="3"/>
  <c r="G15" i="3"/>
  <c r="G14" i="3"/>
  <c r="G12" i="3"/>
  <c r="G11" i="3"/>
  <c r="F10" i="3"/>
  <c r="E10" i="3"/>
  <c r="G106" i="3" l="1"/>
  <c r="E174" i="3"/>
  <c r="E676" i="3"/>
  <c r="F462" i="3"/>
  <c r="F684" i="3"/>
  <c r="F270" i="3"/>
  <c r="E270" i="3"/>
  <c r="E320" i="3"/>
  <c r="I321" i="3"/>
  <c r="E284" i="3"/>
  <c r="E458" i="3" s="1"/>
  <c r="F949" i="3"/>
  <c r="G949" i="3" s="1"/>
  <c r="G950" i="3"/>
  <c r="F853" i="3"/>
  <c r="F852" i="3" s="1"/>
  <c r="E853" i="3"/>
  <c r="K869" i="3"/>
  <c r="E855" i="3"/>
  <c r="E876" i="3"/>
  <c r="E854" i="3"/>
  <c r="G854" i="3" s="1"/>
  <c r="E826" i="3"/>
  <c r="F826" i="3"/>
  <c r="E173" i="3"/>
  <c r="E172" i="3" s="1"/>
  <c r="F503" i="3"/>
  <c r="G520" i="3"/>
  <c r="G872" i="3"/>
  <c r="G64" i="3"/>
  <c r="G70" i="3"/>
  <c r="F172" i="3"/>
  <c r="G459" i="3"/>
  <c r="G507" i="3"/>
  <c r="G536" i="3"/>
  <c r="G875" i="3"/>
  <c r="G523" i="3"/>
  <c r="G513" i="3"/>
  <c r="G113" i="3"/>
  <c r="E516" i="3"/>
  <c r="G148" i="3"/>
  <c r="G168" i="3"/>
  <c r="G600" i="3"/>
  <c r="G724" i="3"/>
  <c r="G811" i="3"/>
  <c r="E80" i="3"/>
  <c r="E76" i="3" s="1"/>
  <c r="I62" i="3"/>
  <c r="I80" i="3" s="1"/>
  <c r="I85" i="3" s="1"/>
  <c r="I1016" i="3" s="1"/>
  <c r="G654" i="3"/>
  <c r="G185" i="3"/>
  <c r="E283" i="3"/>
  <c r="G290" i="3"/>
  <c r="G294" i="3"/>
  <c r="G505" i="3"/>
  <c r="G749" i="3"/>
  <c r="G780" i="3"/>
  <c r="G112" i="3"/>
  <c r="G126" i="3"/>
  <c r="G537" i="3"/>
  <c r="E503" i="3"/>
  <c r="E790" i="3"/>
  <c r="G79" i="3"/>
  <c r="G212" i="3"/>
  <c r="G485" i="3"/>
  <c r="G792" i="3"/>
  <c r="G874" i="3"/>
  <c r="G271" i="3"/>
  <c r="G526" i="3"/>
  <c r="E699" i="3"/>
  <c r="G699" i="3" s="1"/>
  <c r="G736" i="3"/>
  <c r="G870" i="3"/>
  <c r="E84" i="3"/>
  <c r="E1012" i="3" s="1"/>
  <c r="G56" i="3"/>
  <c r="G122" i="3"/>
  <c r="G174" i="3"/>
  <c r="E683" i="3"/>
  <c r="G696" i="3"/>
  <c r="G769" i="3"/>
  <c r="G772" i="3"/>
  <c r="G41" i="3"/>
  <c r="G19" i="3"/>
  <c r="F82" i="3"/>
  <c r="G35" i="3"/>
  <c r="G10" i="3"/>
  <c r="G16" i="3"/>
  <c r="F1012" i="3"/>
  <c r="F60" i="3"/>
  <c r="G67" i="3"/>
  <c r="G105" i="3"/>
  <c r="G183" i="3"/>
  <c r="G214" i="3"/>
  <c r="G297" i="3"/>
  <c r="G463" i="3"/>
  <c r="F516" i="3"/>
  <c r="G527" i="3"/>
  <c r="G750" i="3"/>
  <c r="G810" i="3"/>
  <c r="G827" i="3"/>
  <c r="G846" i="3"/>
  <c r="G850" i="3"/>
  <c r="G943" i="3"/>
  <c r="F76" i="3"/>
  <c r="G93" i="3"/>
  <c r="G190" i="3"/>
  <c r="G831" i="3"/>
  <c r="E201" i="3"/>
  <c r="E245" i="3" s="1"/>
  <c r="E243" i="3" s="1"/>
  <c r="G26" i="3"/>
  <c r="F85" i="3"/>
  <c r="E82" i="3"/>
  <c r="G92" i="3"/>
  <c r="G121" i="3"/>
  <c r="G189" i="3"/>
  <c r="F284" i="3"/>
  <c r="F283" i="3" s="1"/>
  <c r="G474" i="3"/>
  <c r="E491" i="3"/>
  <c r="G510" i="3"/>
  <c r="G518" i="3"/>
  <c r="G554" i="3"/>
  <c r="G725" i="3"/>
  <c r="G737" i="3"/>
  <c r="G775" i="3"/>
  <c r="G815" i="3"/>
  <c r="G871" i="3"/>
  <c r="G873" i="3"/>
  <c r="G244" i="3"/>
  <c r="G194" i="3"/>
  <c r="F193" i="3"/>
  <c r="G193" i="3" s="1"/>
  <c r="G74" i="3"/>
  <c r="F201" i="3"/>
  <c r="F245" i="3" s="1"/>
  <c r="F243" i="3" s="1"/>
  <c r="G286" i="3"/>
  <c r="G542" i="3"/>
  <c r="F541" i="3"/>
  <c r="G541" i="3" s="1"/>
  <c r="G716" i="3"/>
  <c r="F715" i="3"/>
  <c r="G715" i="3" s="1"/>
  <c r="G869" i="3"/>
  <c r="F867" i="3"/>
  <c r="G904" i="3"/>
  <c r="G934" i="3"/>
  <c r="E933" i="3"/>
  <c r="G933" i="3" s="1"/>
  <c r="E34" i="3"/>
  <c r="G37" i="3"/>
  <c r="G72" i="3"/>
  <c r="F147" i="3"/>
  <c r="G147" i="3" s="1"/>
  <c r="G270" i="3"/>
  <c r="G481" i="3"/>
  <c r="F480" i="3"/>
  <c r="G480" i="3" s="1"/>
  <c r="G492" i="3"/>
  <c r="F491" i="3"/>
  <c r="G547" i="3"/>
  <c r="G567" i="3"/>
  <c r="F566" i="3"/>
  <c r="G566" i="3" s="1"/>
  <c r="G652" i="3"/>
  <c r="G877" i="3"/>
  <c r="F876" i="3"/>
  <c r="G876" i="3" s="1"/>
  <c r="G911" i="3"/>
  <c r="G910" i="3"/>
  <c r="G954" i="3"/>
  <c r="E953" i="3"/>
  <c r="G953" i="3" s="1"/>
  <c r="G965" i="3"/>
  <c r="G38" i="3"/>
  <c r="E60" i="3"/>
  <c r="J321" i="3"/>
  <c r="G677" i="3"/>
  <c r="G653" i="3"/>
  <c r="G701" i="3"/>
  <c r="G767" i="3"/>
  <c r="G766" i="3"/>
  <c r="F34" i="3"/>
  <c r="G62" i="3"/>
  <c r="G77" i="3"/>
  <c r="E462" i="3"/>
  <c r="G462" i="3" s="1"/>
  <c r="G475" i="3"/>
  <c r="G486" i="3"/>
  <c r="G546" i="3"/>
  <c r="G700" i="3"/>
  <c r="G791" i="3"/>
  <c r="F790" i="3"/>
  <c r="G886" i="3"/>
  <c r="G885" i="3"/>
  <c r="G918" i="3"/>
  <c r="F917" i="3"/>
  <c r="G917" i="3" s="1"/>
  <c r="G469" i="3"/>
  <c r="F468" i="3"/>
  <c r="G468" i="3" s="1"/>
  <c r="G574" i="3"/>
  <c r="F573" i="3"/>
  <c r="G573" i="3" s="1"/>
  <c r="G895" i="3"/>
  <c r="G894" i="3"/>
  <c r="G903" i="3"/>
  <c r="G925" i="3"/>
  <c r="E924" i="3"/>
  <c r="G924" i="3" s="1"/>
  <c r="G851" i="3"/>
  <c r="F942" i="3"/>
  <c r="G942" i="3" s="1"/>
  <c r="I457" i="3" l="1"/>
  <c r="E1016" i="3"/>
  <c r="F458" i="3"/>
  <c r="F1016" i="3"/>
  <c r="I320" i="3"/>
  <c r="J320" i="3"/>
  <c r="K321" i="3"/>
  <c r="G516" i="3"/>
  <c r="G826" i="3"/>
  <c r="G503" i="3"/>
  <c r="J867" i="3"/>
  <c r="K867" i="3" s="1"/>
  <c r="K868" i="3"/>
  <c r="E852" i="3"/>
  <c r="G80" i="3"/>
  <c r="E200" i="3"/>
  <c r="E85" i="3"/>
  <c r="G85" i="3" s="1"/>
  <c r="G790" i="3"/>
  <c r="G868" i="3"/>
  <c r="G491" i="3"/>
  <c r="G76" i="3"/>
  <c r="E682" i="3"/>
  <c r="E457" i="3"/>
  <c r="F683" i="3"/>
  <c r="F1015" i="3" s="1"/>
  <c r="G283" i="3"/>
  <c r="I60" i="3"/>
  <c r="K60" i="3" s="1"/>
  <c r="K62" i="3"/>
  <c r="G173" i="3"/>
  <c r="G1012" i="3"/>
  <c r="G60" i="3"/>
  <c r="G172" i="3"/>
  <c r="G84" i="3"/>
  <c r="G82" i="3"/>
  <c r="F81" i="3"/>
  <c r="G34" i="3"/>
  <c r="G284" i="3"/>
  <c r="G867" i="3"/>
  <c r="F964" i="3"/>
  <c r="G966" i="3"/>
  <c r="G321" i="3"/>
  <c r="F320" i="3"/>
  <c r="G320" i="3" s="1"/>
  <c r="E675" i="3"/>
  <c r="G1017" i="3"/>
  <c r="G855" i="3"/>
  <c r="E964" i="3"/>
  <c r="F200" i="3"/>
  <c r="G201" i="3"/>
  <c r="G684" i="3"/>
  <c r="G678" i="3"/>
  <c r="G837" i="3"/>
  <c r="G676" i="3"/>
  <c r="F675" i="3"/>
  <c r="I682" i="3" l="1"/>
  <c r="G683" i="3"/>
  <c r="K320" i="3"/>
  <c r="G200" i="3"/>
  <c r="E681" i="3"/>
  <c r="E1009" i="3"/>
  <c r="E81" i="3"/>
  <c r="G81" i="3" s="1"/>
  <c r="G853" i="3"/>
  <c r="G852" i="3"/>
  <c r="G675" i="3"/>
  <c r="I76" i="3"/>
  <c r="K76" i="3" s="1"/>
  <c r="K80" i="3"/>
  <c r="G964" i="3"/>
  <c r="G1016" i="3"/>
  <c r="G245" i="3"/>
  <c r="G243" i="3"/>
  <c r="G1015" i="3"/>
  <c r="I681" i="3" l="1"/>
  <c r="K1016" i="3"/>
  <c r="K85" i="3"/>
  <c r="I81" i="3"/>
  <c r="K81" i="3" s="1"/>
  <c r="F693" i="2" l="1"/>
  <c r="E693" i="2"/>
  <c r="E691" i="2" s="1"/>
  <c r="F692" i="2"/>
  <c r="G692" i="2" s="1"/>
  <c r="E692" i="2"/>
  <c r="G690" i="2"/>
  <c r="G689" i="2"/>
  <c r="G688" i="2"/>
  <c r="G687" i="2"/>
  <c r="G686" i="2"/>
  <c r="G685" i="2"/>
  <c r="G684" i="2"/>
  <c r="F682" i="2"/>
  <c r="G682" i="2" s="1"/>
  <c r="E682" i="2"/>
  <c r="G681" i="2"/>
  <c r="G680" i="2"/>
  <c r="G679" i="2"/>
  <c r="G678" i="2"/>
  <c r="G677" i="2"/>
  <c r="G676" i="2"/>
  <c r="G675" i="2"/>
  <c r="G674" i="2"/>
  <c r="G673" i="2"/>
  <c r="G672" i="2"/>
  <c r="G662" i="2"/>
  <c r="G661" i="2"/>
  <c r="F660" i="2"/>
  <c r="E660" i="2"/>
  <c r="E663" i="2" s="1"/>
  <c r="G663" i="2" s="1"/>
  <c r="G659" i="2"/>
  <c r="G658" i="2"/>
  <c r="G657" i="2"/>
  <c r="G656" i="2"/>
  <c r="G655" i="2"/>
  <c r="G654" i="2"/>
  <c r="G652" i="2"/>
  <c r="G651" i="2"/>
  <c r="G650" i="2"/>
  <c r="G649" i="2"/>
  <c r="G648" i="2"/>
  <c r="F647" i="2"/>
  <c r="F664" i="2" s="1"/>
  <c r="E647" i="2"/>
  <c r="E664" i="2" s="1"/>
  <c r="G646" i="2"/>
  <c r="G645" i="2"/>
  <c r="F643" i="2"/>
  <c r="F668" i="2" s="1"/>
  <c r="E643" i="2"/>
  <c r="E668" i="2" s="1"/>
  <c r="F642" i="2"/>
  <c r="G642" i="2" s="1"/>
  <c r="E642" i="2"/>
  <c r="G641" i="2"/>
  <c r="G640" i="2"/>
  <c r="G639" i="2"/>
  <c r="G638" i="2"/>
  <c r="G637" i="2"/>
  <c r="G636" i="2"/>
  <c r="G635" i="2"/>
  <c r="G634" i="2"/>
  <c r="F632" i="2"/>
  <c r="G632" i="2" s="1"/>
  <c r="E632" i="2"/>
  <c r="F631" i="2"/>
  <c r="E631" i="2"/>
  <c r="G630" i="2"/>
  <c r="G629" i="2"/>
  <c r="F627" i="2"/>
  <c r="E627" i="2"/>
  <c r="F626" i="2"/>
  <c r="E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F611" i="2"/>
  <c r="G611" i="2" s="1"/>
  <c r="E611" i="2"/>
  <c r="F610" i="2"/>
  <c r="E610" i="2"/>
  <c r="E609" i="2" s="1"/>
  <c r="G608" i="2"/>
  <c r="G607" i="2"/>
  <c r="G606" i="2"/>
  <c r="G605" i="2"/>
  <c r="F604" i="2"/>
  <c r="E604" i="2"/>
  <c r="G603" i="2"/>
  <c r="G602" i="2"/>
  <c r="G601" i="2"/>
  <c r="G600" i="2"/>
  <c r="F599" i="2"/>
  <c r="E599" i="2"/>
  <c r="G598" i="2"/>
  <c r="G597" i="2"/>
  <c r="F596" i="2"/>
  <c r="E596" i="2"/>
  <c r="G595" i="2"/>
  <c r="G594" i="2"/>
  <c r="F593" i="2"/>
  <c r="E593" i="2"/>
  <c r="F590" i="2"/>
  <c r="E590" i="2"/>
  <c r="E591" i="2" s="1"/>
  <c r="G589" i="2"/>
  <c r="G588" i="2"/>
  <c r="F585" i="2"/>
  <c r="F586" i="2" s="1"/>
  <c r="E585" i="2"/>
  <c r="E586" i="2" s="1"/>
  <c r="G584" i="2"/>
  <c r="G583" i="2"/>
  <c r="G585" i="2" s="1"/>
  <c r="G586" i="2" s="1"/>
  <c r="F582" i="2"/>
  <c r="J758" i="3" s="1"/>
  <c r="E582" i="2"/>
  <c r="G581" i="2"/>
  <c r="F579" i="2"/>
  <c r="E579" i="2"/>
  <c r="F578" i="2"/>
  <c r="E578" i="2"/>
  <c r="G577" i="2"/>
  <c r="G579" i="2" s="1"/>
  <c r="G576" i="2"/>
  <c r="G578" i="2" s="1"/>
  <c r="F574" i="2"/>
  <c r="E574" i="2"/>
  <c r="G574" i="2" s="1"/>
  <c r="F573" i="2"/>
  <c r="E573" i="2"/>
  <c r="G572" i="2"/>
  <c r="G571" i="2"/>
  <c r="G570" i="2"/>
  <c r="G569" i="2"/>
  <c r="G568" i="2"/>
  <c r="G567" i="2"/>
  <c r="G566" i="2"/>
  <c r="G565" i="2"/>
  <c r="F563" i="2"/>
  <c r="E563" i="2"/>
  <c r="F562" i="2"/>
  <c r="E562" i="2"/>
  <c r="G561" i="2"/>
  <c r="G560" i="2"/>
  <c r="G559" i="2"/>
  <c r="G558" i="2"/>
  <c r="G557" i="2"/>
  <c r="G556" i="2"/>
  <c r="G555" i="2"/>
  <c r="G554" i="2"/>
  <c r="F551" i="2"/>
  <c r="E551" i="2"/>
  <c r="F550" i="2"/>
  <c r="E550" i="2"/>
  <c r="G549" i="2"/>
  <c r="G548" i="2"/>
  <c r="G547" i="2"/>
  <c r="G546" i="2"/>
  <c r="G545" i="2"/>
  <c r="G544" i="2"/>
  <c r="F542" i="2"/>
  <c r="E542" i="2"/>
  <c r="F541" i="2"/>
  <c r="E541" i="2"/>
  <c r="G540" i="2"/>
  <c r="G539" i="2"/>
  <c r="G538" i="2"/>
  <c r="G537" i="2"/>
  <c r="G536" i="2"/>
  <c r="G535" i="2"/>
  <c r="G534" i="2"/>
  <c r="G533" i="2"/>
  <c r="G532" i="2"/>
  <c r="G531" i="2"/>
  <c r="F529" i="2"/>
  <c r="E529" i="2"/>
  <c r="F528" i="2"/>
  <c r="E528" i="2"/>
  <c r="G526" i="2"/>
  <c r="G525" i="2"/>
  <c r="F524" i="2"/>
  <c r="E524" i="2"/>
  <c r="G523" i="2"/>
  <c r="G522" i="2"/>
  <c r="G521" i="2"/>
  <c r="G520" i="2"/>
  <c r="G519" i="2"/>
  <c r="G518" i="2"/>
  <c r="F509" i="2"/>
  <c r="E509" i="2"/>
  <c r="E513" i="2" s="1"/>
  <c r="E508" i="2"/>
  <c r="E506" i="2" s="1"/>
  <c r="F507" i="2"/>
  <c r="E507" i="2"/>
  <c r="G503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4" i="2"/>
  <c r="G463" i="2"/>
  <c r="G462" i="2"/>
  <c r="G461" i="2"/>
  <c r="G460" i="2"/>
  <c r="G455" i="2"/>
  <c r="G454" i="2"/>
  <c r="G453" i="2"/>
  <c r="G452" i="2"/>
  <c r="G451" i="2"/>
  <c r="G450" i="2"/>
  <c r="G449" i="2"/>
  <c r="G448" i="2"/>
  <c r="G447" i="2"/>
  <c r="G446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29" i="2"/>
  <c r="G428" i="2"/>
  <c r="G427" i="2"/>
  <c r="G426" i="2"/>
  <c r="G424" i="2"/>
  <c r="G423" i="2"/>
  <c r="G422" i="2"/>
  <c r="G421" i="2"/>
  <c r="G420" i="2"/>
  <c r="G419" i="2"/>
  <c r="G418" i="2"/>
  <c r="G417" i="2"/>
  <c r="G416" i="2"/>
  <c r="G415" i="2"/>
  <c r="G413" i="2"/>
  <c r="G412" i="2"/>
  <c r="G411" i="2"/>
  <c r="G410" i="2"/>
  <c r="G408" i="2"/>
  <c r="G407" i="2"/>
  <c r="G406" i="2"/>
  <c r="G405" i="2"/>
  <c r="G403" i="2"/>
  <c r="G402" i="2"/>
  <c r="G401" i="2"/>
  <c r="G400" i="2"/>
  <c r="G398" i="2"/>
  <c r="G397" i="2"/>
  <c r="G396" i="2"/>
  <c r="G395" i="2"/>
  <c r="G394" i="2"/>
  <c r="G392" i="2"/>
  <c r="G391" i="2"/>
  <c r="G387" i="2"/>
  <c r="G386" i="2"/>
  <c r="G384" i="2"/>
  <c r="G383" i="2"/>
  <c r="G382" i="2"/>
  <c r="G380" i="2"/>
  <c r="G379" i="2"/>
  <c r="G378" i="2"/>
  <c r="G377" i="2"/>
  <c r="G376" i="2"/>
  <c r="G375" i="2"/>
  <c r="G374" i="2"/>
  <c r="G372" i="2"/>
  <c r="G371" i="2"/>
  <c r="G370" i="2"/>
  <c r="G368" i="2"/>
  <c r="G365" i="2"/>
  <c r="G364" i="2"/>
  <c r="G363" i="2"/>
  <c r="G362" i="2"/>
  <c r="G361" i="2"/>
  <c r="G359" i="2"/>
  <c r="G358" i="2"/>
  <c r="G357" i="2"/>
  <c r="G356" i="2"/>
  <c r="G354" i="2"/>
  <c r="G353" i="2"/>
  <c r="G352" i="2"/>
  <c r="G351" i="2"/>
  <c r="G350" i="2"/>
  <c r="G348" i="2"/>
  <c r="G347" i="2"/>
  <c r="G346" i="2"/>
  <c r="G345" i="2"/>
  <c r="G344" i="2"/>
  <c r="G342" i="2"/>
  <c r="G341" i="2"/>
  <c r="G340" i="2"/>
  <c r="G339" i="2"/>
  <c r="G338" i="2"/>
  <c r="G336" i="2"/>
  <c r="G335" i="2"/>
  <c r="F333" i="2"/>
  <c r="E333" i="2"/>
  <c r="E514" i="2" s="1"/>
  <c r="F332" i="2"/>
  <c r="F512" i="2" s="1"/>
  <c r="E332" i="2"/>
  <c r="E512" i="2" s="1"/>
  <c r="F331" i="2"/>
  <c r="E511" i="2"/>
  <c r="G329" i="2"/>
  <c r="G328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7" i="2"/>
  <c r="G286" i="2"/>
  <c r="G285" i="2"/>
  <c r="G284" i="2"/>
  <c r="G283" i="2"/>
  <c r="G282" i="2"/>
  <c r="G281" i="2"/>
  <c r="G280" i="2"/>
  <c r="G279" i="2"/>
  <c r="G278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8" i="2"/>
  <c r="G236" i="2"/>
  <c r="G235" i="2"/>
  <c r="G234" i="2"/>
  <c r="G233" i="2"/>
  <c r="G232" i="2"/>
  <c r="G231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8" i="2"/>
  <c r="G197" i="2"/>
  <c r="G195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E156" i="2"/>
  <c r="F155" i="2"/>
  <c r="E155" i="2"/>
  <c r="F152" i="2"/>
  <c r="F154" i="2" s="1"/>
  <c r="E152" i="2"/>
  <c r="E154" i="2" s="1"/>
  <c r="F151" i="2"/>
  <c r="E151" i="2"/>
  <c r="F145" i="2"/>
  <c r="G119" i="2"/>
  <c r="F118" i="2"/>
  <c r="E118" i="2"/>
  <c r="F108" i="2"/>
  <c r="G108" i="2" s="1"/>
  <c r="E108" i="2"/>
  <c r="G105" i="2"/>
  <c r="G104" i="2"/>
  <c r="F103" i="2"/>
  <c r="E103" i="2"/>
  <c r="F102" i="2"/>
  <c r="E102" i="2"/>
  <c r="G96" i="2"/>
  <c r="G95" i="2"/>
  <c r="G94" i="2"/>
  <c r="G93" i="2"/>
  <c r="F91" i="2"/>
  <c r="F90" i="2"/>
  <c r="E90" i="2"/>
  <c r="F89" i="2"/>
  <c r="E89" i="2"/>
  <c r="G86" i="2"/>
  <c r="G83" i="2"/>
  <c r="G82" i="2"/>
  <c r="F74" i="2"/>
  <c r="E74" i="2"/>
  <c r="F73" i="2"/>
  <c r="E73" i="2"/>
  <c r="G72" i="2"/>
  <c r="G71" i="2"/>
  <c r="G70" i="2"/>
  <c r="G69" i="2"/>
  <c r="G68" i="2"/>
  <c r="G67" i="2"/>
  <c r="G65" i="2"/>
  <c r="G64" i="2"/>
  <c r="G63" i="2"/>
  <c r="G62" i="2"/>
  <c r="G60" i="2"/>
  <c r="G59" i="2"/>
  <c r="G58" i="2"/>
  <c r="G57" i="2"/>
  <c r="G55" i="2"/>
  <c r="G54" i="2"/>
  <c r="G53" i="2"/>
  <c r="G52" i="2"/>
  <c r="F50" i="2"/>
  <c r="E50" i="2"/>
  <c r="E107" i="2" s="1"/>
  <c r="E106" i="2" s="1"/>
  <c r="F49" i="2"/>
  <c r="G49" i="2" s="1"/>
  <c r="E49" i="2"/>
  <c r="G48" i="2"/>
  <c r="G47" i="2"/>
  <c r="G46" i="2"/>
  <c r="G45" i="2"/>
  <c r="F38" i="2"/>
  <c r="E38" i="2"/>
  <c r="F37" i="2"/>
  <c r="E37" i="2"/>
  <c r="G35" i="2"/>
  <c r="F34" i="2"/>
  <c r="E34" i="2"/>
  <c r="G33" i="2"/>
  <c r="F32" i="2"/>
  <c r="E32" i="2"/>
  <c r="G31" i="2"/>
  <c r="F30" i="2"/>
  <c r="E30" i="2"/>
  <c r="G28" i="2"/>
  <c r="F27" i="2"/>
  <c r="G27" i="2" s="1"/>
  <c r="E27" i="2"/>
  <c r="G26" i="2"/>
  <c r="F25" i="2"/>
  <c r="E25" i="2"/>
  <c r="G24" i="2"/>
  <c r="F23" i="2"/>
  <c r="E23" i="2"/>
  <c r="F20" i="2"/>
  <c r="F41" i="2" s="1"/>
  <c r="E20" i="2"/>
  <c r="F19" i="2"/>
  <c r="E19" i="2"/>
  <c r="G17" i="2"/>
  <c r="G16" i="2"/>
  <c r="F15" i="2"/>
  <c r="E15" i="2"/>
  <c r="G14" i="2"/>
  <c r="G13" i="2"/>
  <c r="F12" i="2"/>
  <c r="E12" i="2"/>
  <c r="G12" i="2" s="1"/>
  <c r="G10" i="2"/>
  <c r="F9" i="2"/>
  <c r="E9" i="2"/>
  <c r="G9" i="2" s="1"/>
  <c r="E330" i="2" l="1"/>
  <c r="G507" i="2"/>
  <c r="G509" i="2"/>
  <c r="G524" i="2"/>
  <c r="G528" i="2"/>
  <c r="G550" i="2"/>
  <c r="G562" i="2"/>
  <c r="G631" i="2"/>
  <c r="G660" i="2"/>
  <c r="G25" i="2"/>
  <c r="G34" i="2"/>
  <c r="G15" i="2"/>
  <c r="F107" i="2"/>
  <c r="G73" i="2"/>
  <c r="G118" i="2"/>
  <c r="G331" i="2"/>
  <c r="G333" i="2"/>
  <c r="G508" i="2"/>
  <c r="G541" i="2"/>
  <c r="G563" i="2"/>
  <c r="G593" i="2"/>
  <c r="G599" i="2"/>
  <c r="F609" i="2"/>
  <c r="G609" i="2" s="1"/>
  <c r="F40" i="2"/>
  <c r="F36" i="2"/>
  <c r="E41" i="2"/>
  <c r="E698" i="2" s="1"/>
  <c r="G37" i="2"/>
  <c r="E153" i="2"/>
  <c r="G153" i="2" s="1"/>
  <c r="G610" i="2"/>
  <c r="G693" i="2"/>
  <c r="J757" i="3"/>
  <c r="J762" i="3"/>
  <c r="J853" i="3" s="1"/>
  <c r="G627" i="2"/>
  <c r="G647" i="2"/>
  <c r="G23" i="2"/>
  <c r="G32" i="2"/>
  <c r="K122" i="3"/>
  <c r="G90" i="2"/>
  <c r="G155" i="2"/>
  <c r="G332" i="2"/>
  <c r="G529" i="2"/>
  <c r="G551" i="2"/>
  <c r="G573" i="2"/>
  <c r="G590" i="2"/>
  <c r="G604" i="2"/>
  <c r="G626" i="2"/>
  <c r="I172" i="3"/>
  <c r="E18" i="2"/>
  <c r="G30" i="2"/>
  <c r="G74" i="2"/>
  <c r="G89" i="2"/>
  <c r="G20" i="2"/>
  <c r="G50" i="2"/>
  <c r="G582" i="2"/>
  <c r="I758" i="3"/>
  <c r="G596" i="2"/>
  <c r="G668" i="2"/>
  <c r="G664" i="2"/>
  <c r="F39" i="2"/>
  <c r="G154" i="2"/>
  <c r="F697" i="2"/>
  <c r="G512" i="2"/>
  <c r="G36" i="2"/>
  <c r="E510" i="2"/>
  <c r="E697" i="2"/>
  <c r="G41" i="2"/>
  <c r="G107" i="2"/>
  <c r="F106" i="2"/>
  <c r="G106" i="2" s="1"/>
  <c r="F511" i="2"/>
  <c r="F18" i="2"/>
  <c r="G18" i="2" s="1"/>
  <c r="G19" i="2"/>
  <c r="E36" i="2"/>
  <c r="G38" i="2"/>
  <c r="E40" i="2"/>
  <c r="G40" i="2" s="1"/>
  <c r="F330" i="2"/>
  <c r="G330" i="2" s="1"/>
  <c r="F506" i="2"/>
  <c r="G506" i="2" s="1"/>
  <c r="F514" i="2"/>
  <c r="G514" i="2" s="1"/>
  <c r="F591" i="2"/>
  <c r="G591" i="2" s="1"/>
  <c r="E669" i="2"/>
  <c r="E699" i="2" s="1"/>
  <c r="F691" i="2"/>
  <c r="G691" i="2" s="1"/>
  <c r="F513" i="2"/>
  <c r="G513" i="2" s="1"/>
  <c r="E527" i="2"/>
  <c r="G542" i="2"/>
  <c r="E653" i="2"/>
  <c r="E665" i="2" s="1"/>
  <c r="E667" i="2" s="1"/>
  <c r="F669" i="2"/>
  <c r="F527" i="2"/>
  <c r="G527" i="2" s="1"/>
  <c r="G643" i="2"/>
  <c r="F653" i="2"/>
  <c r="K758" i="3" l="1"/>
  <c r="I762" i="3"/>
  <c r="I853" i="3" s="1"/>
  <c r="I1010" i="3" s="1"/>
  <c r="K762" i="3"/>
  <c r="I757" i="3"/>
  <c r="K757" i="3" s="1"/>
  <c r="J761" i="3"/>
  <c r="J172" i="3"/>
  <c r="K172" i="3" s="1"/>
  <c r="K173" i="3"/>
  <c r="G697" i="2"/>
  <c r="E39" i="2"/>
  <c r="G39" i="2" s="1"/>
  <c r="E696" i="2"/>
  <c r="E695" i="2" s="1"/>
  <c r="E666" i="2"/>
  <c r="G669" i="2"/>
  <c r="F699" i="2"/>
  <c r="G699" i="2" s="1"/>
  <c r="F665" i="2"/>
  <c r="G665" i="2" s="1"/>
  <c r="G653" i="2"/>
  <c r="G511" i="2"/>
  <c r="F510" i="2"/>
  <c r="G510" i="2" s="1"/>
  <c r="F698" i="2"/>
  <c r="G698" i="2" s="1"/>
  <c r="J852" i="3" l="1"/>
  <c r="I761" i="3"/>
  <c r="K761" i="3" s="1"/>
  <c r="F667" i="2"/>
  <c r="I852" i="3" l="1"/>
  <c r="K852" i="3" s="1"/>
  <c r="K853" i="3"/>
  <c r="G667" i="2"/>
  <c r="F666" i="2"/>
  <c r="G666" i="2" s="1"/>
  <c r="F696" i="2"/>
  <c r="I1009" i="3" l="1"/>
  <c r="G696" i="2"/>
  <c r="F695" i="2"/>
  <c r="G695" i="2" s="1"/>
  <c r="G265" i="3"/>
  <c r="J265" i="3"/>
  <c r="F264" i="3"/>
  <c r="G264" i="3" s="1"/>
  <c r="J458" i="3" l="1"/>
  <c r="J457" i="3" s="1"/>
  <c r="K265" i="3"/>
  <c r="J264" i="3"/>
  <c r="J682" i="3" l="1"/>
  <c r="J1010" i="3" s="1"/>
  <c r="K264" i="3"/>
  <c r="J681" i="3" l="1"/>
  <c r="K681" i="3" s="1"/>
  <c r="K682" i="3"/>
  <c r="K457" i="3"/>
  <c r="K458" i="3"/>
  <c r="G317" i="3"/>
  <c r="F316" i="3"/>
  <c r="G316" i="3" s="1"/>
  <c r="F457" i="3"/>
  <c r="G457" i="3" s="1"/>
  <c r="J1009" i="3" l="1"/>
  <c r="K1010" i="3"/>
  <c r="F682" i="3"/>
  <c r="F1010" i="3" s="1"/>
  <c r="G458" i="3"/>
  <c r="K1009" i="3" l="1"/>
  <c r="J1018" i="3"/>
  <c r="M1009" i="3"/>
  <c r="F681" i="3"/>
  <c r="G681" i="3" s="1"/>
  <c r="G682" i="3"/>
  <c r="F1009" i="3" l="1"/>
  <c r="G1009" i="3" s="1"/>
  <c r="G1010" i="3"/>
</calcChain>
</file>

<file path=xl/sharedStrings.xml><?xml version="1.0" encoding="utf-8"?>
<sst xmlns="http://schemas.openxmlformats.org/spreadsheetml/2006/main" count="6962" uniqueCount="696">
  <si>
    <t>Форма 6</t>
  </si>
  <si>
    <t>Наименование мероприятия/источник финансирования</t>
  </si>
  <si>
    <t xml:space="preserve">№
п/п
</t>
  </si>
  <si>
    <t>Заказчик</t>
  </si>
  <si>
    <t>Срок реализации</t>
  </si>
  <si>
    <t>запланировано</t>
  </si>
  <si>
    <t>фактически освоено</t>
  </si>
  <si>
    <t>в % к плану</t>
  </si>
  <si>
    <t>Степень выполнения мероприятия &lt;1&gt;, %</t>
  </si>
  <si>
    <t>Факторы, повлиявшие на ход реализации мероприятия</t>
  </si>
  <si>
    <t>Сведения о финансировании и о результатах реализации мероприятий Государственной программы "Охрана окружающей среды и устойчивое использование природных ресурсов"                                                                                                                                                                                                                                     на 2016 - 2020 годы</t>
  </si>
  <si>
    <t>Задача 1. Проведение поисковых работ с целью наращивания собственной минерально сырьевой базы</t>
  </si>
  <si>
    <t>Задача 2. Управление в области обращения со стойкими органическими загрязнителями</t>
  </si>
  <si>
    <t>республиканский бюджет</t>
  </si>
  <si>
    <t>Минприроды</t>
  </si>
  <si>
    <t>2016 - 2020</t>
  </si>
  <si>
    <t>2016-2020</t>
  </si>
  <si>
    <t>государственные органы, иные заинтересованные</t>
  </si>
  <si>
    <t>в пределах выделенных средств</t>
  </si>
  <si>
    <t>собственные средства организаций</t>
  </si>
  <si>
    <t>Задача 4. Обращение с непригодными пестицидами, в том числе содержащими стойкие органические загрязнители</t>
  </si>
  <si>
    <t>Гомельский облисполком</t>
  </si>
  <si>
    <t>местный бюджет</t>
  </si>
  <si>
    <t>Задача 5. Обращение с оборудованием, материалами и отходами, содержащими полихлорированные бифенилы</t>
  </si>
  <si>
    <t xml:space="preserve">Задача 6. Создание химико-аналитической базы для выполнения измерений стойких органических загрязнителей 
и мониторинг их содержания в окружающей среде
</t>
  </si>
  <si>
    <t>Задача 8. Сокращение выбросов стойких органических загрязнителей в результате их непреднамеренного производства</t>
  </si>
  <si>
    <t>облисполкомы и Минский горисполком</t>
  </si>
  <si>
    <t>местный бюджет, из них:</t>
  </si>
  <si>
    <t>Брестская область</t>
  </si>
  <si>
    <t>Витебская область</t>
  </si>
  <si>
    <t>Гомельская область</t>
  </si>
  <si>
    <t>Гродненская область</t>
  </si>
  <si>
    <t>Минская область</t>
  </si>
  <si>
    <t>Могилевская область</t>
  </si>
  <si>
    <t>г.Минск</t>
  </si>
  <si>
    <t xml:space="preserve">Задача 6. Смягчение воздействия на климат и адаптация к изменяющемуся климату, научное и информационное обеспечение разработки и реализации мер по смягчению последствий изменения климата   </t>
  </si>
  <si>
    <t>Ведение и актуализация единой базы данных о стойких органических загрязнителях, содержащей информацию о пестицидах, объектах их размещения и территориях, ими загрязненных, полихлорированных бифенилах, оборудовании, материалах и отходах, содержащих полихлорированные бифенилы, и территориях, ими загрязненных, источниках выбросов стойких органических загрязнителей в результате их непреднамеренного производства, о количественном содержании стойких органических загрязнителей в объектах окружающей среды - всего в том числе:</t>
  </si>
  <si>
    <t>Подготовка информации в соответствии со статьей 15 Стокгольмской конвенции о стойких органических загрязнителях о выполнении обязательств, принятых Республикой Беларусь, для представления в Секретариат названной Конвенции - всего в том числе:</t>
  </si>
  <si>
    <t>Проведение мониторинга стойких органических загрязнителей в ком-понентах природной среды, включая при-обретение расходных материалов для проведения таких наблюдений - всего в том числе:</t>
  </si>
  <si>
    <t>Проведение первоочередных мероприятий по сокращению непреднамеренных выбросов стойких органических загрязнителей при сжигании отходов, выплавке металлов, производстве цемента, сжигании твердых видов топлива - всего в том числе:</t>
  </si>
  <si>
    <t>Обеспечение функционирования Республиканского центра аналитического контроля в области охраны окружающей среды, в том числе финансирование текущих и капитальных расходов - всего в том числе:</t>
  </si>
  <si>
    <t>Информационное обеспечение, воспитание, обучение и просвещение в области охраны окружающей среды и рационального использования природных ресурсов - всего в том числе:</t>
  </si>
  <si>
    <t>Развитие международного сотрудничества в области охраны окружающей среды - всего в том числе:</t>
  </si>
  <si>
    <t>Выполнение мероприятий по рациональному (устойчивому) использованию природных ресурсов и охране окружающей среды - всего в том числе:</t>
  </si>
  <si>
    <t>2016 ‑ 2020</t>
  </si>
  <si>
    <t>2016-2017</t>
  </si>
  <si>
    <t>Совершенствование системы обработки, хранения и управления климатическими данными - всего, в том числе:</t>
  </si>
  <si>
    <t>Создание и уход за лесными культурами широколиственных пород - всего, в том числе:</t>
  </si>
  <si>
    <t>Минлесхоз</t>
  </si>
  <si>
    <t>Отбор и внедрение в систему лесовосстановления и лесоразведения климатипов южного происхождения, наиболее приспособленных к лесорастительным условиям страны, для создания устойчивых лесов в условиях изменяющегося климата - всего, в том числе:</t>
  </si>
  <si>
    <t>НАН Беларуси</t>
  </si>
  <si>
    <t>Адаптация видового состава кормовых культур к изменяющимся климатическим условиям и связанная с этим оптимизация структуры посевных площадей - всего, в том числе:</t>
  </si>
  <si>
    <t>2016 - 2019</t>
  </si>
  <si>
    <t>cобственные средства</t>
  </si>
  <si>
    <t>Итого по задаче, в том числе:</t>
  </si>
  <si>
    <t>Задача 7. Минимизация выбросов загрязняющих веществ для улучшения качества атмосферного воздуха</t>
  </si>
  <si>
    <t xml:space="preserve"> Создание «экологической карты» населенных пунктов с населением свыше 100 тыс. человек - всего, в том числе: </t>
  </si>
  <si>
    <t>2016-2019</t>
  </si>
  <si>
    <t>Задача 8. Рациональное (устойчивое) использование водных ресурсов и улучшение экологического состояния (статуса) поверхностных водных объектов</t>
  </si>
  <si>
    <t xml:space="preserve">Разработка планов управления рек Западная Двина, Неман, Припять - всего, в том числе: </t>
  </si>
  <si>
    <t>Задача 1. Внедрение современных технологий гидрометеорологических наблюдений, техническое переоснащение государственной сети гидрометеорологических наблюдений</t>
  </si>
  <si>
    <t>Приобретение и использование приборов и оборудования для метеорологических наблюдений - всего, в том числе:</t>
  </si>
  <si>
    <t>Задача 2. Развитие технологий прогнозирования погоды, обнаружения и предупреждения об опасных гидрометеорологических явлениях</t>
  </si>
  <si>
    <t>Приобретение и использование приборов, оборудования и расходных материалов для аэрологических наблюдений - всего, в том числе:</t>
  </si>
  <si>
    <t>Задача 3. Совершенствование материально-технической базы гидрометеорологической отрасли</t>
  </si>
  <si>
    <t>Развитие базовых технологий сбора, обработки и распространения гидрометеорологической и экологической информации, прогнозирования состояния окружающей среды, ее загрязнения - всего, в том числе:</t>
  </si>
  <si>
    <t>Поддержание в надлежащем порядке гидрометеорологических объектов - всего, в том числе:</t>
  </si>
  <si>
    <t>Задача 4. Метрологическое и техническое обеспечение гидрометеорологической деятельности и деятельности в области радиационно-экологического мониторинга окружающей среды</t>
  </si>
  <si>
    <t>Метрологическое обеспечение средств измерений, техническое обслуживание, ремонт приборов и оборудования гидрометеорологического и экологического назначения, телекоммуникационных систем и программно-аппаратных комплексов - всего, в том числе:</t>
  </si>
  <si>
    <t>Задача 5. Развитие научной деятельности и международного сотрудничества, повышение квалификации работников системы Минприроды</t>
  </si>
  <si>
    <t>Совершенствование системы управления гидрометеорологической деятельностью и системой менеджмента качества - всего, в том числе:</t>
  </si>
  <si>
    <t>Совершенствование кадрового обеспечения отрасли (повышение квалификации сотрудников) - всего, в том числе:</t>
  </si>
  <si>
    <t>Развитие международного сотрудничества в области гидрометеорологической деятельности, в том числе участие в международных форумах, в деятельности рабочих органов Всемирной метеорологической организации, Межгосударственного совета по гидрометеорологии Содружества Независимых Государств и комитета Союзного государства по гидрометеорологии и мониторингу загрязнения природной среды (конституционные органы, рабочие группы, заседания экспертов)  - всего, в том числе:</t>
  </si>
  <si>
    <t>Всего по подпрограмме, в том числе:</t>
  </si>
  <si>
    <t>Задача 1. Обеспечение функционирования и развития системы наблюдений за состоянием атмосферного воздуха и источниками его загрязнения</t>
  </si>
  <si>
    <t xml:space="preserve"> Обеспечение непрерывного измерения уровня содержания загрязняющих веществ в атмосферном воздухе в крупных промышленных городах с использованием автоматических станций - всего, в том числе:
</t>
  </si>
  <si>
    <t xml:space="preserve">Проведение наблюдений за уровнем содержания бензапирена и твердых частиц (фракции размером до 2,5 мкм) в атмосферном воздухе в средних и крупных городах - всего, в том числе:
</t>
  </si>
  <si>
    <t xml:space="preserve">Обеспечение непрерывного измерения уровня содержания в атмосферном воздухе парниковых газов и получение информации о трансграничном переносе загрязняющих воздух веществ на станции фонового мониторинга "Березинский заповедник" и метеорологической станции "Высокое" - всего, в том числе:
</t>
  </si>
  <si>
    <t xml:space="preserve"> Обеспечение получения информации о трансграничном переносе загрязняющих веществ в атмосферном воздухе в результате проведения скоординированных дистанционных спутниковых и наземных измерений и моделирования переноса атмосферных примесей - всего, в том числе:
</t>
  </si>
  <si>
    <t>Задача 2. Обеспечение функционирования, развития и совершенствования системы наблюдений за состоянием поверхностных вод и источниками их загрязнения</t>
  </si>
  <si>
    <t xml:space="preserve"> Проведение мониторинга состояния поверхностных вод по гидрохимическим показателям в трансграничных пунктах наблюдений, а также водоемов, наиболее значимых при осуществлении рыбохозяйственной и рекреационной деятельности - всего, в том числе:
</t>
  </si>
  <si>
    <t xml:space="preserve"> Проведение мониторинга состояния поверхностных вод по гидрологическим показателям в трансграничных пунктах наблюдений - всего, в том числе:
</t>
  </si>
  <si>
    <t xml:space="preserve">Обеспечение поэтапного развертывания сети пунктов наблюдений за состоянием поверхностных вод по гидроморфологическим показателям - всего, в том числе:
</t>
  </si>
  <si>
    <t xml:space="preserve"> Техническое переоснащение материально-технической базы испытательных лабораторий (центров), осуществляющих наблюдения за состоянием поверхностных вод по гидрохимическим показателям - всего, в том числе:
</t>
  </si>
  <si>
    <t>Задача 3. Обеспечение функционирования, развития и совершенствования системы наблюдений за состоянием подземных вод и источниками их загрязнения</t>
  </si>
  <si>
    <t xml:space="preserve">Оснащение сети мониторинга подземных вод приборами автоматической регистрации показателей состояния подземных вод (уровневый и температурный режимы) в режиме реального времени - всего, в том числе:
</t>
  </si>
  <si>
    <t xml:space="preserve">Проведение мониторинга состояния подземных вод в целях наблюдения за их гидрохимическими и гидрогеологическими показателями (уровневый и температурный режимы) - всего, в том числе:
</t>
  </si>
  <si>
    <t xml:space="preserve"> Проведение мониторинга состояния подземных вод в трансграничных пунктах наблюдений - всего, в том числе:
</t>
  </si>
  <si>
    <t>Задача 4. Обеспечение функционирования, развития и совершенствования системы наблюдений за состоянием земель (включая почвы) и источниками их загрязнения</t>
  </si>
  <si>
    <t xml:space="preserve"> Проведение мониторинга состояния земель (включая почвы) и получение данных о химическом загрязнении земель в областных центрах Республики Беларусь с учетом функционального использования территорий населенных пунктов и оценки уровня оказываемого антропогенного воздействия - всего, в том числе:
</t>
  </si>
  <si>
    <t xml:space="preserve">Проведение мониторинга состояния земель (включая почвы) и получение данных о химическом загрязнении земель на фоновых территориях - всего, в том числе:
</t>
  </si>
  <si>
    <t xml:space="preserve"> Проведение наблюдений за компонентным составом почвенного покрова и интенсивностью ветровой эрозии осушенных почв, оценка динамики изменения состава торфяно-болотных почв - всего, в том числе:
</t>
  </si>
  <si>
    <t>Госкомимущество</t>
  </si>
  <si>
    <t xml:space="preserve"> Проведение наблюдений за процессами водной эрозии и оценка интенсивности водной эрозии при различном целевом использовании эродированных земель (включая почвы) - всего, в том числе:
</t>
  </si>
  <si>
    <t>Задача 5. Обеспечение функционирования, развития и совершенствования системы наблюдений радиационного мониторинга</t>
  </si>
  <si>
    <t xml:space="preserve"> Проведение наблюдений за естественным радиационным фоном - всего, в том числе:
</t>
  </si>
  <si>
    <t xml:space="preserve">Проведение радиационного мониторинга пяти административных районов республики, подвергшихся радиоактивному загрязнению в результате катастрофы на Чернобыльской АЭС, с подготовкой карт радоноопасности - всего, в том числе:
</t>
  </si>
  <si>
    <t xml:space="preserve"> Обеспечение модернизации и функционирования четырех автоматизированных систем радиационного контроля, находящихся в зоне воздействия атомных электростанций сопредельных государств - всего, в том числе:
</t>
  </si>
  <si>
    <t xml:space="preserve"> Проведение радиационного мониторинга в районе расположения Белорусской АЭС - всего, в том числе:
</t>
  </si>
  <si>
    <t>Задача 6. Обеспечение функционирования, развития и совершенствования системы наблюдений геофизического мониторинга</t>
  </si>
  <si>
    <t xml:space="preserve">Проведение геофизического мониторинга - всего, в том числе:
</t>
  </si>
  <si>
    <t>Задача 7. Обеспечение функционирования, развития и совершенствования системы наблюдений за состоянием озонового слоя</t>
  </si>
  <si>
    <t xml:space="preserve"> Проведение наблюдений за состоянием озонового слоя и оперативное прогнозирование значения ультрафиолетового индекса - всего, в том числе:</t>
  </si>
  <si>
    <t>Минобразование</t>
  </si>
  <si>
    <t xml:space="preserve"> Проведение регулярных измерений уровня приземного ультрафиолетового солнечного излучения - всего, в том числе:</t>
  </si>
  <si>
    <t>Задача 8. Обеспечение функционирования системы наблюдений за состоянием лесов</t>
  </si>
  <si>
    <t xml:space="preserve"> Проведение мониторинга состояния лесов - всего, в том числе:</t>
  </si>
  <si>
    <t>Задача 9. Обеспечение функционирования, развития и совершенствования системы наблюдений за состоянием растительного мира</t>
  </si>
  <si>
    <t xml:space="preserve"> Проведение наблюдений за ресурсами луговой и лугово-болотной растительности, а также за средой ее произрастания - всего, в том числе:</t>
  </si>
  <si>
    <t>Проведение наблюдений за ресурсами водной растительности, а также за средой ее произрастания - всего, в том числе:</t>
  </si>
  <si>
    <t xml:space="preserve"> Проведение наблюдений за популяциями видов растений, охраняемых в соответствии с международными договорами Республики Беларусь, а также включенных в Красную книгу Республики Беларусь, и средой их произрастания - всего, в том числе:</t>
  </si>
  <si>
    <t xml:space="preserve"> Проведение наблюдений за пищевыми видами растений и грибов на землях лесного фонда - всего, в том числе:</t>
  </si>
  <si>
    <t>Проведение наблюдений за популяциями видов инвазивных растений, создающих угрозу для жизни или здоровья человека, препятствующих сохранению биологического разнообразия и причиняющих вред отдельным отраслям экономики - всего, в том числе:</t>
  </si>
  <si>
    <t xml:space="preserve"> Проведение наблюдений за насаждениями, используемыми в защитных целях за пределами лесного фонда (защитные насаждения вдоль автомобильных дорог, а также на землях сельскохозяйственного назначения), и средой их произрастания - всего, в том числе:</t>
  </si>
  <si>
    <t>Задача 10. Обеспечение функционирования, развития и совершенствования системы наблюдений за состоянием животного мира</t>
  </si>
  <si>
    <t xml:space="preserve"> Проведение наблюдений за дикими животными, относящимися к объектам охоты, и средой их обитания - всего, в том числе:</t>
  </si>
  <si>
    <t>Проведение наблюдений за дикими животными, относящимися к объектам рыболовства, и средой их обитания - всего, в том числе:</t>
  </si>
  <si>
    <t>Проведение наблюдений за дикими животными, относящимися к видам, включенным в Красную книгу Республики Беларусь, и средой их обитания - всего, в том числе:</t>
  </si>
  <si>
    <t>Проведение наблюдений за дикими животными, относящимися к видам, подпадающим под действие международных договоров Республики Беларусь, и средой их обитания - всего, в том числе:</t>
  </si>
  <si>
    <t xml:space="preserve"> Проведение наблюдений за инвазивными чужеродными дикими животными и средой их обитания - всего, в том числе:</t>
  </si>
  <si>
    <t xml:space="preserve">Проведение наблюдений за дикими животными, не относящимися к объектам охоты и рыболовства, и средой их обитания - всего, в том числе:
</t>
  </si>
  <si>
    <t xml:space="preserve">Задача 11. Обеспечение функционирования, развития и совершенствования системы комплексного мониторинга естественных экологических систем на особо охраняемых природных территориях </t>
  </si>
  <si>
    <t>Проведение наблюдений и получение данных комплексного мониторинга естественных экологических систем на ООПТ, в том числе в заказниках республиканского значения "Выгонощанское", "Днепро-Сожский", "Долгое", "Ельня", "Званец", "Корытенский Мох", "Котра", "Красный Бор", "Липичанская пуща", "Лунинский", "Озеры", "Освейский", "Прибужское Полесье", "Простырь", "Ружанская пуща", "Селява", "Синьша", "Смычок", "Сорочанские озера", "Споровский", "Средняя Припять" - всего, в том числе:</t>
  </si>
  <si>
    <t>Задача 12. Обеспечение функционирования, развития и совершенствования системы локального мониторинга окружающей среды</t>
  </si>
  <si>
    <t>Проведение регулярных наблюдений за выбросами загрязняющих веществ в атмосферный воздух от крупных стационарных источников и сбор данных в ходе локального мониторинга окружающей среды - всего, в том числе:</t>
  </si>
  <si>
    <t xml:space="preserve"> Проведение локального мониторинга сбросов сточных вод в поверхностные водные объекты от наиболее крупных источников загрязнения поверхностных вод и сбор данных в ходе локального мониторинга окружающей среды - всего, в том числе:</t>
  </si>
  <si>
    <t>Проведение локального мониторинга подземных вод в местах размещения источников их загрязнения и сбор данных в ходе локального мониторинга окружающей среды - всего, в том числе:</t>
  </si>
  <si>
    <t>Задача 13. Обеспечение функционирования, развития и совершенствования информационной системы мониторинга окружающей среды</t>
  </si>
  <si>
    <t xml:space="preserve">Обеспечение сбора, обработки, анализа и представления комплексной информации о состоянии окружающей среды главным информационно-аналитическим центром Национальной системы мониторинга окружающей среды в Республике Беларусь - всего, в том числе:
</t>
  </si>
  <si>
    <t xml:space="preserve">Обеспечение функционирования системы сбора, обработки, анализа и представления данных информационно-аналитическими центрами мониторинга в составе Национальной системы мониторинга окружающей среды в Республике Беларусь с использованием автоматизированных информационных систем - всего
в том числе информационно-аналитическими центрами:
</t>
  </si>
  <si>
    <t>мониторинга атмосферного воздуха</t>
  </si>
  <si>
    <t>мониторинга поверхностных вод</t>
  </si>
  <si>
    <t>мониторинга подземных вод</t>
  </si>
  <si>
    <t>локального мониторинга окружающей среды</t>
  </si>
  <si>
    <t>радиационного мониторинга</t>
  </si>
  <si>
    <t xml:space="preserve"> Обеспечение функционирования системы сбора, обработки, анализа и представления данных информационно-аналитическим центром мониторинга озонового слоя в составе Национальной системы мониторинга окружающей среды в Республике Беларусь с использованием автоматизированных информационных систем
</t>
  </si>
  <si>
    <t xml:space="preserve"> Обеспечение функционирования системы сбора, обработки, анализа и представления данных информационно-
аналитическими центрами мониторинга в составе Национальной системы мониторинга окружающей среды в Республике Беларусь с использованием автоматизированных информационных систем - всего в том числе информационно- аналитическими центрами:
</t>
  </si>
  <si>
    <t>мониторинга животного мира</t>
  </si>
  <si>
    <t xml:space="preserve">мониторинга растительного мира и комплексного мониторинга естественных экологических систем на особо охраняемых природных территориях
</t>
  </si>
  <si>
    <t>средства международной технической помощи</t>
  </si>
  <si>
    <t xml:space="preserve">Минприроды, государственные органы, иные заинтересованные </t>
  </si>
  <si>
    <t xml:space="preserve">Минприроды, Минстройархитектуры, Минтранс, государственные органы, иные заинтересованные </t>
  </si>
  <si>
    <t>Задача 2. Проведение региональных геологосъемочных работ в целях выявления перспективных участков для разработки месторождений полезных ископаемых</t>
  </si>
  <si>
    <t xml:space="preserve">Минприроды </t>
  </si>
  <si>
    <t>cобственные средства организаций</t>
  </si>
  <si>
    <t>Задача 1. Развитие системы ООПТ, обеспечение функционирования, охраны ООПТ и управления ими</t>
  </si>
  <si>
    <t>Ведение реестра особо охраняемых природных территорий Республики Беларусь - всего, в том числе:</t>
  </si>
  <si>
    <t>Подготовка и публикация презентационного издания (книги) об ООПТ Беларуси (на русском и английском языках) - всего, в том числе:</t>
  </si>
  <si>
    <t>Изготовление и установка информационных и информационно-указательных знаков, рекламно-информационных щитов в том числе в Березинском биосферном заповеднике и национальных парках "Беловежская пуща", "Браславские озера", "Нарочанский", "Припятский" (далее - национальные парки) - всего, в том числе</t>
  </si>
  <si>
    <t>Управление делами Президента Республики Беларусь</t>
  </si>
  <si>
    <t>Разработка и реализация проектов по восстановлению нарушенных (осушенных) болотных экологических систем и неэффективно используемых мелиоративных объектов, включая разработку научного обоснования и проектно-сметной документации в Национальном парке "Беловежская пуща" - всего, в том числе:</t>
  </si>
  <si>
    <t>Проведение мероприятий по расчистке от древесно-кустарниковой растительности и тростника участков экологических систем (лугов, низинных болот, островов) в соответствии с планами управления ООПТ, включая приобретение техники, разработку научного обоснования и проектно-сметной документации в Березинском биосферном заповеднике и национальных парках - всего, в том числе:</t>
  </si>
  <si>
    <t>Разработка и реализация мероприятий, направленных на борьбу с инвазивными чужеродными видами дикорастущих растений, включая приобретение специальной техники и средств, в Березинском биосферном заповеднике и национальных парках и на прилегающей к ним территории - всего, в том числе:</t>
  </si>
  <si>
    <t>Изготовление и установка искусственных гнездовий для птиц, относящихся к видам диких животных, включенным в Красную книгу Республики Беларусь, в Березинском биосферном заповеднике и национальных парках - всего, в том числе:</t>
  </si>
  <si>
    <t>Восстановление пойменных дубрав Национального парка "Припятский" - всего, в том числе:</t>
  </si>
  <si>
    <t>из них:</t>
  </si>
  <si>
    <t>разработка и реализация комплекса мероприятий по восстановлению и сохранению пойменных дубрав в Национальном парке "Припятский"</t>
  </si>
  <si>
    <t>реконструкция лесного питомника ГПУ "Национальный парк "Припятский", в том числе разработка проектно-сметной документации и организация выращивания посадочного материала дуба с закрытой корневой системой</t>
  </si>
  <si>
    <t>Создание лесосеменной базы и развитие питомнического хозяйства в Национальном парке "Беловежская пуща" - всего, в том числе:</t>
  </si>
  <si>
    <t>Приобретение специальных средств и специального транспорта для повышения эффективности охраны Березинского биосферного заповедника и национальных парков - всего, в том числе:</t>
  </si>
  <si>
    <t>Приобретение специальных средств визуального обнаружения лесных пожаров для размещения их в национальных парках - всего, в том числе:</t>
  </si>
  <si>
    <t>Создание на ООПТ визит-центров, разработка и обустройство "зеленых маршрутов", в том числе экологических троп, а также сопутствующей инфраструктуры, включая разработку проектно-сметной документации и приобретение оборудования в Березинском биосферном заповеднике и национальных парках - всего, в том числе:</t>
  </si>
  <si>
    <t>Развитие и обустройство рекреационных зон в целях создания условий для массового отдыха и оздоровления, экологического просвещения населения за счет более эффективного использования рекреационного и экологического потенциала ООПТ, включая разработку проектно-сметной документации - всего, в том числе:</t>
  </si>
  <si>
    <t>в том числе:</t>
  </si>
  <si>
    <t>Березинский биосферный заповедник</t>
  </si>
  <si>
    <t>обустройство объектов отдыха эколого-туристического комплекса "Нивки", включая разработку проектно-сметной документации</t>
  </si>
  <si>
    <t>Национальный парк "Браславские озера"</t>
  </si>
  <si>
    <t>строительство и реконструкция объектов для организации массового отдыха населения в рекреационной зоне оз. Саванар</t>
  </si>
  <si>
    <t>строительство объектов для массового отдыха населения и обустройство рекреационных зон на озерах Струсто, Снуды</t>
  </si>
  <si>
    <t xml:space="preserve">Национальный парк "Беловежская пуща" </t>
  </si>
  <si>
    <t>строительство объектов археологического музея под открытым небом, включая разработку проектно-сметной документации</t>
  </si>
  <si>
    <t xml:space="preserve">Национальный парк "Припятский" </t>
  </si>
  <si>
    <t>строительство объектов историко-этнографического комплекса "Музей под открытым небом", включая разработку проектно-сметной документации</t>
  </si>
  <si>
    <t>Приобретение и установка информационных туристических терминалов, включающих информацию об ООПТ, в Березинском биосферном заповеднике и национальных парках, разработка сайтов об ООПТ, в том числе на английском языке - всего, в том числе</t>
  </si>
  <si>
    <t>Разработка и создание сети учебно-демонстрационных объектов в Новоселковском лесничестве в Национальном парке "Беловежская пуща" - всего, в том числе</t>
  </si>
  <si>
    <t>2016-2018</t>
  </si>
  <si>
    <t>2016-2018,2020</t>
  </si>
  <si>
    <t>2016-2018, 2020</t>
  </si>
  <si>
    <t>Организация и проведение в Березинском биосферном заповеднике и (или) национальных парках фестивалей, конференций, выставок и другого – всего, в том числе:</t>
  </si>
  <si>
    <t>Подготовка и издание ежегодника "Особо охраняемые природные территории Беларуси. Исследования" - всего, в том числе:</t>
  </si>
  <si>
    <t xml:space="preserve">Подготовка, издание и распространение путеводителей, карт, памяток, буклетов и других рекламно-
информационных материалов о Березинском биосферном заповеднике и (или) национальных парках на русском, белорусском и английском языках - всего, в том числе:
</t>
  </si>
  <si>
    <t>Организация и ведение наблюдений за распространением церкариозов и клещевых боррелиозов, оценка степени риска возникновения очагов шистосоматидных аллергодерматитов в Березинском биосферном заповеднике и национальных парках - всего, в том числе</t>
  </si>
  <si>
    <t>Оценка современного состояния и реализация мер по снижению уровня деградации водоемов, расположенных на территории национальных парков "Браславские озера" и "Нарочанский" - всего, в том числе:</t>
  </si>
  <si>
    <t xml:space="preserve">Создание комплексной автоматизированно-
справочной системы на базе действующей геоинформационной системы Березинского биосферного заповедника и национальных парков с использованием информации с аппаратов космического базирования и других средств - всего, в том числе:
</t>
  </si>
  <si>
    <t>Мероприятия по развитию национальных парков и Березинского биосферного заповедника (протокол поручений Президента Республики Беларусь от 12 ноября 2009 г. N 31) по перечню, утверждаемому Управлением делами Президента Республики Беларусь - всего, в том числе:</t>
  </si>
  <si>
    <t>Текущее содержание республиканского ландшафтного заказника "Налибокский" - всего, в том числе:</t>
  </si>
  <si>
    <t>Брестский облисполком</t>
  </si>
  <si>
    <t>Подготовка представлений об объявлении, преобразовании и прекращении функционирования ООПТ местного значения в соответствии с региональной схемой рационального размещения ООПТ местного значения - всего, в том числе:</t>
  </si>
  <si>
    <t>Проведение инвентаризации памятников природы, а также природных комплексов и объектов на предмет объявления их памятниками природы, подготовка представлений об объявлении, преобразовании и прекращении функционирования памятников природы - всего, в том числе:</t>
  </si>
  <si>
    <t>Изготовление и установка информационных и информационно-указательных знаков, рекламно-информационных щитов на территории заказников и  памятников природы - всего, в том числе:</t>
  </si>
  <si>
    <t>Проведение мероприятий в республиканском ландшафтном заказнике "Званец" и республиканском биологическом заказнике "Споровский" по расчистке от древесно-кустарниковой растительности и тростника участков экологических систем (лугов, низинных болот, островов) в соответствии с планами управления ООПТ, включая приобретение техники, разработку научного обоснования и проектно-сметной документации - всего, в том числе:</t>
  </si>
  <si>
    <t>Изготовление и установка на ООПТ искусственных гнездовий для птиц, относящихся к видам диких животных, включенным в Красную книгу Республики Беларусь - всего, в том числе:</t>
  </si>
  <si>
    <t>Создание на ООПТ визит-центров, разработка и обустройство "зеленых маршрутов", в том числе экологических троп, а также сопутствующей инфраструктуры, включая разработку проектно-сметной документации и приобретение оборудования - всего, в том числе:</t>
  </si>
  <si>
    <t>2016-2017,2020</t>
  </si>
  <si>
    <t>Приобретение и установка информационных туристических терминалов, включающих информацию об ООПТ, разработка сайтов об ООПТ, в том числе на английском языке - всего, в том числе:</t>
  </si>
  <si>
    <t>Организация и проведение на ООПТ фестивалей, конференций, выставок и другого - всего, в том числе:</t>
  </si>
  <si>
    <t xml:space="preserve">Подготовка, издание и распространение путеводителей, карт, памяток, буклетов и других рекламно-
информационных материалов об ООПТ на русском, белорусском и английском языках - всего, в том числе:
</t>
  </si>
  <si>
    <t>Витебский облисполком</t>
  </si>
  <si>
    <t>Разработка планов управления заказниками республиканского значения "Козьянский", "Синьша", "Долгое", "Корытенский Мох", "Ричи" - всего, в том числе:</t>
  </si>
  <si>
    <t>Изготовление и установка информационных и информационно-указательных знаков, рекламно-информационных щитов на ООПТ - всего, в том числе:</t>
  </si>
  <si>
    <t>Разработка и реализация мероприятий, направленных на борьбу с инвазивными чужеродными видами дикорастущих растений, включая приобретение специальной техники и средств, на территории заказников и памятников природы и прилегающей к ним территории - всего, в том числе:</t>
  </si>
  <si>
    <t xml:space="preserve">Изготовление и установка на территории заказников и памятников природы информационных и информационно-указательных знаков, рекламно-
информационных щитов - всего, в том числе:
</t>
  </si>
  <si>
    <t>Разработка и реализация мероприятий, направленных на борьбу с инвазивными чужеродными видами дикорастущих растений, включая приобретение специальной техники и средств, на территории заказников и памятников природы и прилегающей к ним территории</t>
  </si>
  <si>
    <t>Подготовка, издание и распространение путеводителей, карт, памяток, буклетов и других рекламно-информационных материалов об ООПТ на русском, белорусском и английском языках - всего, в том числе:</t>
  </si>
  <si>
    <t>Гродненский облисполком</t>
  </si>
  <si>
    <t>Разработка планов управления заказниками республиканского значения "Липичанская пуща", "Озеры", "Сорочанские озера" - всего, в том числе:</t>
  </si>
  <si>
    <t>Минский облисполком</t>
  </si>
  <si>
    <t>2016-2017, 2020</t>
  </si>
  <si>
    <t>Могилевский облисполком</t>
  </si>
  <si>
    <t>Изготовление и установка на территории заказников и памятников природы информационных и информационно-указательных знаков, рекламно-информационных щитов - всего, в том числе:</t>
  </si>
  <si>
    <t>Минский горисполком</t>
  </si>
  <si>
    <t>2016-2017, 2019 - 2020</t>
  </si>
  <si>
    <t>Задача 2. Сохранение редких и находящихся под угрозой исчезновения видов диких животных</t>
  </si>
  <si>
    <t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отдельных микропопуляциях зубров – всего, в том числе:</t>
  </si>
  <si>
    <t>Национальный парк "Беловежская пуща"</t>
  </si>
  <si>
    <t>Национальный парк "Припятский"</t>
  </si>
  <si>
    <t>Инвентаризация животных и выявление особей, представляющих селекционную ценность - всего, в том числе:</t>
  </si>
  <si>
    <t>Создание и ведение компьютерной базы данных, содержащей информацию о численности и половозрастной структуре зубров основного генофонда, их воспроизводстве, естественной смертности, миграции, численности и изъятии зубров резервного генофонда, оценке трофеев - всего, в том числе:</t>
  </si>
  <si>
    <t>Проведение научно обоснованных действий (расселение, скрещивание) по поддержанию оптимальной численности и половозрастной структуры микропопуляций зубров, освежению крови, их изъятию - всего, в том числе:</t>
  </si>
  <si>
    <t>Проведение гельминтологических обследований и ветеринарной оценки состояния микропопуляций зубров и выполнение комплекса лечебно-профилактических мероприятий - всего, в том числе:</t>
  </si>
  <si>
    <t>Закупка антигельминтных и иных ветеринарных препаратов для микропопуляций зубров - всего, в том числе:</t>
  </si>
  <si>
    <t>Заготовка и (или) приобретение кормов для микропопуляций зубров - всего, в том числе:</t>
  </si>
  <si>
    <t>Поддержание кормовых полей для зубров - всего, в том числе:</t>
  </si>
  <si>
    <t>Формирование и содержание сети подкормочных пунктов из расчета около 25 - 30 особей зубров на 1 площадку - всего, в том числе:</t>
  </si>
  <si>
    <t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отдельных микропопуляциях зубров - всего, в том числе:</t>
  </si>
  <si>
    <t>республиканский ландшафтный заказник "Налибокский"</t>
  </si>
  <si>
    <t>Осиповичский опытный лесхоз</t>
  </si>
  <si>
    <t>Закупка антигельминтных и иных ветеринарных препаратов для микропопуляции зубров, обитающих в угодьях Осиповичского опытного лесхоза - всего, в том числе:</t>
  </si>
  <si>
    <t xml:space="preserve"> Закупка минерально-
витаминных и иммуностимулирующих добавок для микропопуляции зубров, обитающих в угодьях Осиповичского опытного лесхоза - всего, в том числе:
</t>
  </si>
  <si>
    <t xml:space="preserve"> Заготовка и (или) приобретение кормов для микропопуляции зубров, обитающих в угодьях республиканского ландшафтного заказника "Налибокский" - всего, в том числе:
</t>
  </si>
  <si>
    <t xml:space="preserve"> Поддержание кормовых полей для зубров - всего, в том числе:
</t>
  </si>
  <si>
    <t xml:space="preserve">Формирование и содержание сети подкормочных пунктов из расчета около 25 - 30 особей зубров на 1 площадку - всего, в том числе:
</t>
  </si>
  <si>
    <t>МЧС</t>
  </si>
  <si>
    <t>Инвентаризация животных и выявление особей, представляющих селекционную ценность и обитающих в угодьях Полесского государственного радиационно-экологического заповедника - всего, в том числе:</t>
  </si>
  <si>
    <t xml:space="preserve"> Проведение гельминтологических обследований и ветеринарной оценки состояния микропопуляции зубров Полесского государственного радиационно-
экологического заповедника и выполнение комплекса лечебно-профилактических мероприятий - всего, в том числе:</t>
  </si>
  <si>
    <t xml:space="preserve"> Заготовка и (или) приобретение кормов для микропопуляции зубров, обитающих в угодьях Полесского государственного радиационно-экологического заповедника - всего, в том числе:
</t>
  </si>
  <si>
    <t xml:space="preserve">Поддержание кормовых полей для микропопуляции зубров, обитающих в угодьях Полесского государственного радиационно-экологического заповедника - всего, в том числе:
</t>
  </si>
  <si>
    <t xml:space="preserve"> 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микропопуляции зубров, обитающих в угодьях Полесского государственного радиационно-экологического заповедника
- всего, в том числе:</t>
  </si>
  <si>
    <t xml:space="preserve">Создание и ведение компьютерной базы данных, содержащей информацию о численности и половозрастной структуре зубров основного генофонда, их воспроизводстве, естественной смертности, миграции, численности и изъятии зубров резервного генофонда, оценке трофеев, в Полесском государственном радиационно-
экологическом заповеднике - всего, в том числе:
</t>
  </si>
  <si>
    <t xml:space="preserve">Генотипирование особей европейского зубра (Bison bonasus) и создание депонированного банка ДНК беловежского зубра - всего, в том числе:
</t>
  </si>
  <si>
    <t xml:space="preserve"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микропопуляции зубров, обитающих в угодьях ООО "Интерсервис" - всего, в том числе:
</t>
  </si>
  <si>
    <t xml:space="preserve">Создание и ведение компьютерной базы данных, содержащей информацию о численности и половозрастной структуре зубров основного генофонда, их воспроизводстве, естественной смертности, миграции, численности и изъятии зубров резервного генофонда в угодьях ООО "Интерсервис" - всего, в том числе:
</t>
  </si>
  <si>
    <t>Проведение гельминтологических обследований и ветеринарной оценки состояния микропопуляции зубров, обитающих в угодьях ООО "Интерсервис", и выполнение комплекса лечебно-профилактических мероприятий - всего, в том числе:</t>
  </si>
  <si>
    <t xml:space="preserve">Закупка антигельминтных и иных ветеринарных препаратов для микропопуляции зубров, обитающих в угодьях ООО "Интерсервис" - сего, в том числе:
</t>
  </si>
  <si>
    <t xml:space="preserve"> Закупка минерально-витаминных и иммуностимулирующих добавок для микропопуляции зубров, обитающих в угодьях ООО "Интерсервис" - всего, в том числе:
</t>
  </si>
  <si>
    <t xml:space="preserve">Заготовка и (или) приобретение кормов для микропопуляции зубров, обитающих в угодьях ООО "Интерсервис" - всего, в том числе:
</t>
  </si>
  <si>
    <t xml:space="preserve">Поддержание кормовых полей для микропопуляции зубров, обитающих в угодьях ООО "Интерсервис - всего, в том числе:
</t>
  </si>
  <si>
    <t xml:space="preserve">Формирование и содержание сети подкормочных пунктов из расчета около 25 - 30 особей зубров на 1 площадку в угодьях ООО "Интерсервис" - всего, в том числе:
</t>
  </si>
  <si>
    <t>2017, 2019</t>
  </si>
  <si>
    <t>Инвентаризация животных и выявление особей, представляющих селекционную ценность и обитающих в угодьях СПК "Озеры Гродненского района" - всего, в том числе:</t>
  </si>
  <si>
    <t xml:space="preserve">Создание и ведение компьютерной базы данных, содержащей информацию о численности и половозрастной структуре зубров основного генофонда, их воспроизводстве, естественной смертности, миграции, численности и изъятии зубров резервного генофонда, оценке трофеев в СПК "Озеры Гродненского района" - всего, в том числе:
</t>
  </si>
  <si>
    <t xml:space="preserve"> Проведение гельминтологических обследований и ветеринарной оценки состояния микропопуляции зубров, обитающих в угодьях СПК "Озеры Гродненского района", и выполнение комплекса лечебно-профилактических мероприятий - всего, в том числе:
</t>
  </si>
  <si>
    <t xml:space="preserve">Закупка антигельминтных и иных ветеринарных препаратов для микропопуляции зубров, обитающих в угодьях СПК "Озеры Гродненского района" - всего, в том числе:
</t>
  </si>
  <si>
    <t xml:space="preserve"> Закупка минерально-витаминных и иммуностимулирующих добавок для микропопуляции зубров, обитающих в угодьях СПК "Озеры Гродненского района" - всего, в том числе:
</t>
  </si>
  <si>
    <t xml:space="preserve">Заготовка и (или) приобретение кормов для зубров, обитающих в угодьях - всего, в том числе:
</t>
  </si>
  <si>
    <t xml:space="preserve">СПК "Озеры Гродненского района" - всего, в том числе:
</t>
  </si>
  <si>
    <t xml:space="preserve"> Поддержание кормовых полей для зубров, обитающих в угодьях СПК "Озеры Гродненского района" - всего, в том числе:
</t>
  </si>
  <si>
    <t xml:space="preserve">Формирование и содержание сети подкормочных пунктов из расчета около 25-30 особей зубров на 1 площадку в угодьях СПК "Озеры Гродненского района" - всего, в том числе:
</t>
  </si>
  <si>
    <t xml:space="preserve">Закупка антигельминтных и иных ветеринарных препаратов для микропопуляции зубров, обитающих в угодьях республиканского ландшафтного заказника "Налибокский" - всего, в том числе:
</t>
  </si>
  <si>
    <t xml:space="preserve"> Закупка минерально-витаминных и иммуностимулирующих добавок для микропопуляции зубров, обитающих в угодьях республиканского ландшафтного заказника "Налибокский" - всего, в том числе:
</t>
  </si>
  <si>
    <t xml:space="preserve">Заготовка и (или) приобретение кормов для микропопуляции зубров, обитающих в угодьях республиканского ландшафтного заказника "Налибокский" - всего, в том числе:
</t>
  </si>
  <si>
    <t xml:space="preserve">Поддержание кормовых полей для зубров, обитающих в угодьях республиканского ландшафтного заказника "Налибокский" - всего, в том числе:
</t>
  </si>
  <si>
    <t>Заготовка и (или) приобретение кормов для микропопуляции зубров, обитающих в угодьях Осиповичского опытного лесхоза - всего, в том числе:</t>
  </si>
  <si>
    <t>Всего по программе, в том числе:</t>
  </si>
  <si>
    <t>Разработка и внедрение современных технологий производства геологоразведочных работ - всего, в том числе:</t>
  </si>
  <si>
    <t>Совершенствование системы сбора, обработки, анализа, хранения и предоставления в пользование геологической информации о недрах в соответствии с современными и перспективными требованиями в сфере не-дропользования на основе создания общедоступных информационных ресурсов - всего, в том числе:</t>
  </si>
  <si>
    <t>Создание единой цифровой геологической карты территории Республики Беларусь на нескольких уровнях генерализации, соответствующих мелкому, среднему и крупному масштабам, путем переинтерпретации имеющейся геологической информации с минимальным комплексом работ по геологическому доизучению ранее заснятых площадей - всего, в том числе:</t>
  </si>
  <si>
    <t>Проведение глубинного геологического картирования территорий, наиболее перспективных для обнаружения полезных ископаемых, с оценкой прогнозных ресурсов минерального сырья для обеспечения недропользователей, выполняющих работы по геологическому изучению недр, геологической основой при поисках новых месторождений стратегических полезных ископаемых, залегающих на больших глубинах, в целях расширения минерально-сырьевой базы и развития импортозамещающих производств - всего, в том числе:</t>
  </si>
  <si>
    <t>Изучение подземной гидросферы, поиск и разведка пресных и минеральных подземных вод для обеспечения потребностей населения - всего, в том числе:</t>
  </si>
  <si>
    <t>Поиск, предварительная разведка и подготовка к промышленному освоению новых месторождений строительных материалов и других видов нерудного сырья для обеспечения создания инновационных промышленных кластеров и производств на базе запасов минеральных ресурсов - всего, в том числе:</t>
  </si>
  <si>
    <t xml:space="preserve">Проведение поисков углеводородного сырья в целях наращивания топливно-энергетического потенциала - всего, в том числе: </t>
  </si>
  <si>
    <t xml:space="preserve">Текущее содержание организаций гидрометеорологии (объемы финансирования ежегодно уточняются при формировании республиканского бюджета на очередной финансовый год)
* Объемы финансирования ежегодно уточняются при формировании республиканского бюджета на очередной финансовый год.
</t>
  </si>
  <si>
    <t xml:space="preserve"> Подготовка и издание ежегодного научного обзора "Национальная система мониторинга окружающей среды в Республике Беларусь: результаты наблюдений" - всего, в том числе:
</t>
  </si>
  <si>
    <t xml:space="preserve">Обеспечение функционирования системы сбора, обработки, анализа и представления данных информационно-
аналитическим центром мониторинга земель в составе Национальной системы мониторинга окружающей среды в Республике Беларусь с использованием автоматизированных информационных систем - всего, в том числе:
</t>
  </si>
  <si>
    <t>2017 ‑ 2020</t>
  </si>
  <si>
    <t>Детализация оценки изменения климата и разработка сценариев и статистических моделей изменения климата страны в XXI веке - всего, в том числе:</t>
  </si>
  <si>
    <t>Оценка потенциала снижения воздействия на климат короткоживущих климатообразующих компонентов, разработка и реализация мероприятий по снижению их выбросов в атмосферу - всего, в том числе:</t>
  </si>
  <si>
    <t xml:space="preserve">Создание динамической модели управления качеством атмосферного воздуха в населенных пунктах с населением свыше 100 тыс. человек  - всего, в том числе: </t>
  </si>
  <si>
    <t xml:space="preserve">Инвентаризация водных объектов (реки, озера, водохранилища, пруды, родники и ручьи) - всего, в том числе: </t>
  </si>
  <si>
    <t>выполнение комплекса тематических и аналитических работ по подсчету запасов углеводородного сырья, относящихся к проведению изыскательских работ</t>
  </si>
  <si>
    <t>2017-2020</t>
  </si>
  <si>
    <t>научное обеспечение – выявление на основе комплексного анализа геолого-геофизических материалов перспективных нефтегазоносных локальных объектов Припятского прогиба и изучение геологического строения недостаточно изученных частей осадочных бассейнов Республики Беларусь</t>
  </si>
  <si>
    <t>изучение подземной гидросферы для оценки ресурсного потенциала подземных вод</t>
  </si>
  <si>
    <t>Создание сети опорных геолого-геофизических профилей и параметрических скважин для прогнозирования возможности выявления месторождений полезных ископаемых в пределах недостаточно изученных участков недр, а также для корреляции геологической информации о глубинном строении недр с  информацией соседних государств - всего, в том числе:</t>
  </si>
  <si>
    <t>Задача 1. Формирование и совершенствование нормативной базы в области обращения со стойкими органическими загрязнителями</t>
  </si>
  <si>
    <t>2017 - 2018</t>
  </si>
  <si>
    <t>Реализация комплекса мероприятий по переупаковке и вывозу на долговременное хранение с целью дальнейшего  обезвреживания непригодных пестицидов со складов Витебской, Гродненской и Минской областей</t>
  </si>
  <si>
    <t>Витебский, Гродненский и Минский облисполкомы</t>
  </si>
  <si>
    <t>Проведение инвентаризации оборудования и отходов, содержащих полихлорированные бифенилы, в том числе выведенного из эксплуатации оборудования, содержащего полихлорированные бифенилы - всего в том числе:</t>
  </si>
  <si>
    <t>Проведение комплексной многоцелевой геологической съемки территории страны с составлением комплекта крупномасштабных геологических карт и соответствующих баз данных геологической информации для обеспечения недропользователей достоверной информацией геологического содержания (минералогической, гидрогеологической, инженерно-геологической, геолого-экологической) при решении вопросов в области поисков и разведки месторождений общераспространенных полезных ископаемых, обеспечения подземными водами, строительства, мелиорации, горного дела, обороны, охраны окружающей среды, предупреждения опасных геологических явлений - всего, в том числе:</t>
  </si>
  <si>
    <t>2017-2018</t>
  </si>
  <si>
    <t>Подготовка, издание и распространение путеводителей, карт, памяток, буклетов и других рекламно-информационных материалов об ООПТ на русском, белорусском и английском языках</t>
  </si>
  <si>
    <t>2017-2018,2020</t>
  </si>
  <si>
    <t>2016 - 2018, 2020</t>
  </si>
  <si>
    <t>Установка на ООПТ искусственных гнездовий для птиц, относящихся к видам диких животных, включенным в Красную книгу Республики Беларусь</t>
  </si>
  <si>
    <t>Проведение инвентаризации памятников природы, а также природных комплексов и объектов на предмет объявления их памятниками природы, подготовка представлений об объявлении, преобразовании и прекращении функционирования памятников природы</t>
  </si>
  <si>
    <t xml:space="preserve"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микропопуляции зубров, обитающих в угодьях СПК "Озеры Гродненского района" - всего, в том числе:
</t>
  </si>
  <si>
    <t xml:space="preserve">Формирование новой микропопуляции зубров в угодьях ГЛХУ "Дятловский лесхоз" - всего, в том числе:
</t>
  </si>
  <si>
    <t>2017  - 2018</t>
  </si>
  <si>
    <t>Разработка методической базы и организация наблюдений за содержанием загрязняющих веществ в донных отложениях водных экосистем</t>
  </si>
  <si>
    <t>Обеспечение технического оснащения испытательных лабораторий (центров) сети радиационного мониторинга в районе расположения Белорусской АЭС</t>
  </si>
  <si>
    <t>Модернизация материально-технической базы мониторинга растительного мира</t>
  </si>
  <si>
    <t>Модернизация материально-технической базы мониторинга животного мира</t>
  </si>
  <si>
    <t>Комплекс мероприятий подпрограммы 1 «Изучение недр и развитие минерально-сырьевой базы Республики Беларусь»</t>
  </si>
  <si>
    <t>Комплекс мероприятий подпрограммы 2 "Развитие государственной гидрометеорологической службы, смягчение последствий изменения климата, улучшение качества атмосферного воздуха и водных ресурсов"</t>
  </si>
  <si>
    <t>Комплекс мероприятий подпрограммы 3 "Обращение со стойкими органическими загрязнителями"</t>
  </si>
  <si>
    <t>Комплекс мероприятий подпрограммы 4 «Сохранение и устойчивое использование биологического и ландшафтного разнообразия</t>
  </si>
  <si>
    <t>Комплекс мероприятий подпрограммы 5 «Обеспечение функционирования, развития и совершенствования Национальной системы мониторинга окружающей среды в Республике Беларусь»</t>
  </si>
  <si>
    <t>Комплекс мероприятий подпрограммы 6  "Обеспечение функционирования системы управления охраной окружающей среды в Республике Беларусь и реализация мероприятий по рациональному (устойчивому) использованию природных ресурсов и охране окружающей среды на региональном уровне"</t>
  </si>
  <si>
    <t xml:space="preserve">Задача "Создание условий для обеспечения функционирования системы управления охраной окружающей среды в Республике Беларусь, 
а также рационального (устойчивого) использования природных ресурсов и охраны окружающей среды на региональном уровне"
</t>
  </si>
  <si>
    <t>Ведение государственных кадастров и реестров природных ресурсов, реестра технических нормативных правовых актов и методик выполнения измерений в области охраны окружающей среды, обработка данных государственной статистической отчетности, разработка и сопровождение технических нормативных правовых актов в области охраны окружающей среды</t>
  </si>
  <si>
    <t>рациональное использование и охрана водных ресурсов</t>
  </si>
  <si>
    <t>местные бюджеты, из них:</t>
  </si>
  <si>
    <t>обращение с отходами, предотвращение вредного воздействия отходов на окружающую среду</t>
  </si>
  <si>
    <t>охрана и рациональное использование объектов растительного мира</t>
  </si>
  <si>
    <t>благоустройство, озеленение, улучшение состояния территорий населенных пунктов, парков, лесопарков, скверов, бульваров, набе-режных и других объектов озеленения</t>
  </si>
  <si>
    <t>рациональное использование и охрана земель</t>
  </si>
  <si>
    <t xml:space="preserve">облисполкомы </t>
  </si>
  <si>
    <t>охрана диких животных и дикорастущих растений, виды которых включены в Красную книгу Республики Беларусь либо подпадают под действие международных договоров Республики Беларусь</t>
  </si>
  <si>
    <t>охрана и рациональное использование объектов животного мира</t>
  </si>
  <si>
    <t>информационное обеспечение, воспитание, обучение и просвещение в области охраны окружающей среды и рационального использования природных ресурсов</t>
  </si>
  <si>
    <t>международное сотрудничество в области охраны окружающей среды</t>
  </si>
  <si>
    <t>управление деятельностью в области охраны окружающей среды и рационального использования природных ресурсов</t>
  </si>
  <si>
    <t>Итого по подпрограмме, в том числе:</t>
  </si>
  <si>
    <t>cобственные средства организации</t>
  </si>
  <si>
    <t xml:space="preserve">Приложение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отчету о результатах реализации Государственной программы "Охрана окружающей среды и устойчивое использование природных ресурсов" на 2016 – 2020 годы
</t>
  </si>
  <si>
    <t xml:space="preserve">Объемы финансирования
(в текущих ценах, рублей)
</t>
  </si>
  <si>
    <t>Предложения по дальнейшей реализации мероприятия</t>
  </si>
  <si>
    <t>Принимаемые меры по выполнению мероприятия</t>
  </si>
  <si>
    <t>Подпрограмма 1 «Изучение недр и развитие минерально-сырьевой базы Республики Беларусь»</t>
  </si>
  <si>
    <t>Продолжить реализацию мероприятия в 2017-2020 годах</t>
  </si>
  <si>
    <t>Минстройархитектуры не освоены выделенные бюджетные средства по причине позднего срока их выделения</t>
  </si>
  <si>
    <t xml:space="preserve">При выделении бюджетных средств и  улучшения финансового состояния предприятияй Минтсройархитетктуры работы по данному мероприятияю будут продолжены </t>
  </si>
  <si>
    <t>Проведение комплексной многоцелевой геоло-гической съемки территории страны с составлением комплекта крупномасштабных геологических карт и соответствующих баз данных геологической информации для обеспечения недропользователей достоверной информацией геологического содержания (минералогической, гидрогеологической, инже-нерно-геологической, геолого-экологической) при решении вопросов в области поисков и разведки место-рождений общераспространенных полезных ископаемых, обеспечения подземными водами, строительства, мелиорации, горного дела, обороны, охраны окружающей среды, предупреждения опасных геологических явлений - всего, в том числе:</t>
  </si>
  <si>
    <t>Недоосовение бюджетных средств связано с их экономией  с учетом сокращения себестоимости проведенных работ</t>
  </si>
  <si>
    <t>Создание сети опорных геолого-геофизических профилей и параметрических скважин для прогнозирования возможности выявления месторождений полезных ископаемых в пределах недостаточно изученных участков недр, а также для корреляции геологической информации о глубинном строении недр с соответствующей информацией соседних государств - всего, в том числе:</t>
  </si>
  <si>
    <t>Подпрограмма 2 "Развитие государственной гидрометеорологической службы, смягчение последствий изменения климата, улучшение качества атмосферного воздуха и водных ресурсов"</t>
  </si>
  <si>
    <t>Секвестрование финансовых средств</t>
  </si>
  <si>
    <t>Пересмотрен годовой план по закупкам в соответствии с уточненными плановыми назначениями</t>
  </si>
  <si>
    <t>Подготовка проекта стратегии низкоуглеродного развития Республики Беларусь до 2030 года - всего, в том числе:</t>
  </si>
  <si>
    <t>С учетом истечения срока реализации  мероприятия, предложений по дальнейшей его реализации нет.</t>
  </si>
  <si>
    <t>Расчет потенциала учета выбросов и стоков парниковых газов в секторе «Землепользование, изменение землепользования и лесное хозяйство» - всего, в том числе:</t>
  </si>
  <si>
    <t>Продолжить реализацию мероприятия в 2017 году.</t>
  </si>
  <si>
    <t>Продолжить реализацию мероприятия в 2017 - 2020 годах</t>
  </si>
  <si>
    <t>Продолжить реализацию мероприятия в 2017-2019 годах</t>
  </si>
  <si>
    <t xml:space="preserve">Оценка и прогноз изменения стока рек Днепр и Припять с учетом адаптации к изменению климата - всего, в том числе: </t>
  </si>
  <si>
    <t>Продолжить реализацию  в 2017-2020 годах</t>
  </si>
  <si>
    <t>Подпрограмма 3 "Обращение со стойкими органическими загрязнителями"</t>
  </si>
  <si>
    <t>Разработка отраслевых планов по реализации мероприятий, включенных в настоящее приложение, с учетом вывода из эксплуатации всех конденсаторов и 60 процентов трансформаторов, содержащих полихлорированные бифенилы, обеспечения их экологически безопасного хранения, в том числе в организациях, находящихся в подчинении государственных органов (входящих в их состав). Согласование таких планов с Минприроды - всего в том числе:</t>
  </si>
  <si>
    <t xml:space="preserve">В связи с предоставлением в Минприроды на согласование отраслевых планов не всеми государственными органами (иными заинтересованными), в подчинении которых находятся (в состав которых входят) организации - собственники (владельцы) оборудования и отходов, содержащих ПХБ, (порядка 70 % от всех государственных органов (иных заинтересованных)
</t>
  </si>
  <si>
    <t>Выполнение работ по ликвидации Петриковского захоронения непригодных пестицидов - всего в том числе:</t>
  </si>
  <si>
    <t>Продолжить реализацию мероприятия в 2018-2020 годах</t>
  </si>
  <si>
    <t>Проведение инвентаризации обору-дования и отходов, содержащих полихлорированные бифенилы, в том числе выведенного из эксплуатации оборудования, содержащего полихлорированные бифенилы - всего в том числе:</t>
  </si>
  <si>
    <t xml:space="preserve">По результатам проведения 
инвентаризации ПХБ в 2016 году всего в Республики Беларусь количество находящегося в эксплуатации (резерве) оборудования, содержащего ПХБ, составляет 39 627 единиц (в том числе: 39 384 конденсатора и 243 трансформатора), а количество выведенного из эксплуатации такого оборудования – 21 324 единицы (в том числе: 21 241 конденсатор и 83 трансформатора)
</t>
  </si>
  <si>
    <t>Задача 7. Мониторинг состояния здоровья населения в связи с воздействием стойких органических загрязнителей</t>
  </si>
  <si>
    <t xml:space="preserve">Введение в действие гигиенических нор-мативов содержания полибромированных дифениловых эфиров (БДЭ-47, БДЭ-99,
БДЭ-209) в питьевой воде, рыбе и рыбной продукции и методик для их аналитического определения - всего в том числе: 
</t>
  </si>
  <si>
    <t>Минздрав</t>
  </si>
  <si>
    <t xml:space="preserve">Гигиенические нормативы содержания полибромированных дифениловых эфиров (БДЭ-47, БДЭ-99, БДЭ-209) в воде источников при производстве бутилированной воды, рыбе и рыбной продукции введены в действие постановлением Министерства здравоохранения Республики Беларусь
 от 22 ноября 2016 г. № 120 
«О внесении изменений и дополнений в постановления Министерства здравоохранения Республики Беларусь от 21 июня 2013 г. № 52 и от 15 декабря  2015 г. № 123».
Также, разработана и утверждена «Методика выполнения измерения концентраций полибромированных эфиров в рыбе и рыбной продукции» (МВИ.МН 5542-2016)
</t>
  </si>
  <si>
    <t>15 210,0</t>
  </si>
  <si>
    <t xml:space="preserve">В целях сокращения выбросов стойких органических загрязнителей в результате их непреднамеренного производства
источник выбросов загрязняющих веществ в атмосферный воздух № 2015 филиала «Завод Химволокно» ОАО «Гродно Азот» оснащен газоочистным оборудованием
</t>
  </si>
  <si>
    <t>Задача 9. Информационно-просветительская работа в области обращения со стойкими органическими загрязнителями</t>
  </si>
  <si>
    <t xml:space="preserve">Публикация информационных материалов по вопросам стойких органических загрязнителей - всего в том числе: </t>
  </si>
  <si>
    <t>2016, 2017, 2019</t>
  </si>
  <si>
    <t>Продолжить реализацию мероприятия в 2017 и 2019 году</t>
  </si>
  <si>
    <t>Создание, размещение и распространение социальной рекламы, на-правленной на привлечение внимания общественности к проблеме стойких органических загрязнителей - всего в том числе:</t>
  </si>
  <si>
    <t>2016 – 2018, 2020</t>
  </si>
  <si>
    <t>Продолжить реализацию мероприятия в 2018 и 2020 году</t>
  </si>
  <si>
    <t>Подпрограмма 4 «Сохранение и устойчивое использование биологического и ландшафтного разнообразия</t>
  </si>
  <si>
    <t xml:space="preserve">Подготовка представлений о преобразовании заказников республиканского значения, включая определение координат поворотных точек их границ, в соответствии со схемой ("Бусловка", "Прибужское Полесье", "Сервечь", "Красный Бор") – всего, в том числе:
</t>
  </si>
  <si>
    <t>Повышение квалификации руководителей и работников государственных природоохранных учреждений, осуществляющих управление ООПТ, работников территориальных органов Минприроды по курсу "Организация природоохранной и туристической деятельности на ООПТ"– всего, в том числе:</t>
  </si>
  <si>
    <t>2016,2018,   2020</t>
  </si>
  <si>
    <t>Завершение формирования национальной экологической сети южной части Республики Беларусь (Брестская и Гомельская области) - всего, в том числе:</t>
  </si>
  <si>
    <t>Продолжить реализацию мероприятия в 2017 году</t>
  </si>
  <si>
    <t>Продолжить реализацию мероприятия в 2017-2018 годах</t>
  </si>
  <si>
    <t>Продолжить реализацию мероприятия в 2017-2018 и 2020 году</t>
  </si>
  <si>
    <t>мероприятие не выполнялось ввиду отсутствия финансирования</t>
  </si>
  <si>
    <t>вопрос о ходе реализации мероприятий подпрограммы  рассматривался на заседании Координационного совета  23 ноября 2016 г. По итогам заседания направлены письма госорганам (от 01.12.2016 № 10-1-3/3266-вн, от 07.12.2016 № 10-1-3/2396) о принятии исчерпывающих мер по выполнению мероприятий подпрограммы</t>
  </si>
  <si>
    <t>Создание условий для функционирования международного центра изучения дикой природы на базе Национального парка "Беловежская пуща" - всего, в том числе</t>
  </si>
  <si>
    <t>Разработка плана управления заказником республиканского значения "Лунинский" - всего, в том числе:</t>
  </si>
  <si>
    <t xml:space="preserve">Минлесхоз </t>
  </si>
  <si>
    <t>С учетом истечения срока реализации  мероприятия, предложений по дальнейшей его реализации нет</t>
  </si>
  <si>
    <t xml:space="preserve">Разработка мероприятий на пятилетний период в рамках планов управления ООПТ (республиканским ландшафтным заказником "Званец")
</t>
  </si>
  <si>
    <t>Продолжить реализацию мероприятия в 2017-2018, 2020 годах</t>
  </si>
  <si>
    <t>Объявление биосферных резерватов "Беловежская пуща" и "Припятское Полесье"</t>
  </si>
  <si>
    <t xml:space="preserve">Совместным решением Гомельского и Брестского облисполкомов объявлен биосферный резерват "Припятское Полесье", проект решения по объявлению биосферного резервата "Беловежская пуща" разработан, согласован с заитересованными госорганами, принятие его будет обеспечено в 2017 году </t>
  </si>
  <si>
    <t>Продолжить реализацию мероприятия в 2017,2020 годах</t>
  </si>
  <si>
    <t>Продолжить реализацию мероприятия в 2017 - 2018 годах</t>
  </si>
  <si>
    <t>Строительство эколого-информационного центра, включая разработку проектно-сметной документации и приобретение оборудования, в республиканском ландшафтном заказнике "Прибужское Полесье" - всего, в том числе:</t>
  </si>
  <si>
    <t>Продолжить реализацию мероприятия в 2017 - 2018, 2020 годах</t>
  </si>
  <si>
    <t>Продолжить реализацию мероприятия в 2017 , 2020 годах</t>
  </si>
  <si>
    <t>Продолжить реализацию мероприятия в 2017  - 2018 годах</t>
  </si>
  <si>
    <t>Объявление биосферных резерватов "Березинский биосферный заповедник", "Освейский - Красный Бор"</t>
  </si>
  <si>
    <t>-</t>
  </si>
  <si>
    <t>Продолжить реализацию мероприятия в 2017, 2020 годах</t>
  </si>
  <si>
    <t>Продолжить реализацию мероприятия в 2018,  2020 годах</t>
  </si>
  <si>
    <t>Объявление биосферного резервата "Припятское Полесье"</t>
  </si>
  <si>
    <t>Продолжить реализацию мероприятия в 2017 - 2019 годах</t>
  </si>
  <si>
    <t>2016, 2019-2020</t>
  </si>
  <si>
    <t>мероприятие не выполнено ввиду отсутствия финансирования</t>
  </si>
  <si>
    <t>Продолжить реализацию мероприятия в 2019 - 2020 годах</t>
  </si>
  <si>
    <t>2016, 2018, 2020</t>
  </si>
  <si>
    <t>Продолжить реализацию мероприятия в 2018, 2020 годах</t>
  </si>
  <si>
    <t>Продолжить реализацию мероприятия в 2017  году</t>
  </si>
  <si>
    <t>Строительство эколого-информационного центра, включая разработку проектно-сметной документации и приобретение оборудования, в республиканском ландшафтном заказнике "Свитязянский" - всего, в том числе:</t>
  </si>
  <si>
    <t>мероприятие не выполнено ввиду сокращения расходов областного бюджета и резервирования финансовых средств</t>
  </si>
  <si>
    <t>мероприятие не реализовано в связи с задержкой подготовки региональной программы по Минской области</t>
  </si>
  <si>
    <t>Объявление биосферного резервата "Березинский биосферный заповедник"</t>
  </si>
  <si>
    <t>мероприятие частично не вополнено в Кличевском районе ввиду задержки  принятия региональной программы</t>
  </si>
  <si>
    <t>Изготовление и установка искусственных гнездовий для птиц, относящихся к видам диких животных, включенным в Красную книгу Республики Беларусь - всего, в том числе:</t>
  </si>
  <si>
    <t>Продолжить реализацию мероприятия в 2017, 2019 - 2020 годах</t>
  </si>
  <si>
    <t>2016, 2018-2020</t>
  </si>
  <si>
    <t xml:space="preserve"> Закупка минерально-витаминных и иммуностимулирующих добавок для микропопуляции зубров, обитающих в угодьях Полесского государственного радиационно-экологического заповедника
 - всего, в том числе:
</t>
  </si>
  <si>
    <t>Продолжить реализацию мероприятия в 2017, 2019 годах</t>
  </si>
  <si>
    <t xml:space="preserve">Определение численности, половозрастной структуры, отслеживание изменений границ районов обитания, сезонного пространственного размещения животных в микропопуляции зубров, обитающих в угодьях сельскохозяйственного производственного кооператива "Озеры Гродненского района" (далее - СПК "Озеры Гродненского района") - всего, в том числе:
</t>
  </si>
  <si>
    <t xml:space="preserve">Формирование новой микропопуляции зубров в угодьях ООО "Белая тропа" - всего, в том числе:
</t>
  </si>
  <si>
    <t>2016, 2017, 2020</t>
  </si>
  <si>
    <t xml:space="preserve">Отказ ООО "Белая тропа" </t>
  </si>
  <si>
    <t>Продолжить реализацию мероприятия в 2018 году</t>
  </si>
  <si>
    <t xml:space="preserve">Обеспечить создание микропопуляции зубра в 2018 году на базе ГЛХУ "Дятловский лесхоз" </t>
  </si>
  <si>
    <t>ООО "Белая тропа" - всего, в том числе:</t>
  </si>
  <si>
    <t xml:space="preserve">Формирование и содержание сети подкормочных пунктов из расчета около 25 - 30 особей зубров на 1 площадку в угодьях республиканского ландшафтного заказника "Налибокский" - всего, в том числе:
</t>
  </si>
  <si>
    <t>мероприятие выполненно</t>
  </si>
  <si>
    <t>Подпрограмма 5 «Обеспечение функционирования, развития и совершенствования Национальной системы мониторинга окружающей среды в Республике Беларусь»</t>
  </si>
  <si>
    <t>Республиканский бюджет</t>
  </si>
  <si>
    <t>Средства международной технической помощи</t>
  </si>
  <si>
    <t>экономия средств за счет выбора поставщика с наименьшей ценой</t>
  </si>
  <si>
    <t>Собственные средства организаций</t>
  </si>
  <si>
    <t>Комплекс мероприятий в области охраны окружающей среды</t>
  </si>
  <si>
    <t>Ведение государственных кадастров и реестров природных ресурсов, обработка данных госстатотчетности, разработка и сопровождение технических нормативных правовых актов в области охраны окружающей среды - всего в том числе:</t>
  </si>
  <si>
    <t>Обустройство водного объекта в государственном лесохозяйственном учреждении ”Красносельское“ - всего в том числе:</t>
  </si>
  <si>
    <t>Продолжить реализацию в 2017-2020 годах</t>
  </si>
  <si>
    <t>Итого по комплексу, в том числе:</t>
  </si>
  <si>
    <t xml:space="preserve">Минприроды, концерн "Белнефтехим" </t>
  </si>
  <si>
    <t>Продолжить реализацию мероприятия в 2019-2020 годах</t>
  </si>
  <si>
    <t>научное обеспечение – определение перспектив практического использования пород кристаллического фундамента юга Беларуси для получения силикатных материалов различного целевого назначения</t>
  </si>
  <si>
    <t>Продолжить реализацию мероприятия в 2020 году</t>
  </si>
  <si>
    <t>выполнение комплекса тематических и аналитических работ по систематизации и обобщению данных о количественных и качественных показателях подземных вод в районе действующих водозаборов и оценке их состояния с использованием информационного ресурса "База данных – Подземные воды Республики Беларусь"</t>
  </si>
  <si>
    <t>Изменения, внесенные постановлением Совета Министров Республики Беларусь от 16.11.2018 № 829 вступили в силу 27.11.2018. С учетом установленных Инструкции Минприроды от 05.03.2016 № 28 норм о проведении конкурсов (30 дней) конкурсы не проводились.</t>
  </si>
  <si>
    <t>из него:</t>
  </si>
  <si>
    <t xml:space="preserve">средства на финансирование научной, научно-технической и инновационной деятельности
</t>
  </si>
  <si>
    <t>выполнение комплекса тематических и аналитических работ по минералого-технологической оценке состава кварцевых песков</t>
  </si>
  <si>
    <t>научное обеспечение –создание сводной легенды к государственным гидрогеологическим картам среднего масштаба</t>
  </si>
  <si>
    <t>из них выполнение комплекса тематических и аналитических работ по стратиграфическому расчленению дочетвертичных отложений разрезов скважин, пробуренных на территории проведения глубинного геологического картирования</t>
  </si>
  <si>
    <t xml:space="preserve">из них: </t>
  </si>
  <si>
    <t>научное обеспечение – корреляция стратиграфических подразделений дочетвертичных отложений, выявленных при проведении параметрического бурения</t>
  </si>
  <si>
    <t>2018-2020</t>
  </si>
  <si>
    <t>научное обеспечение – изучение вещественного состава и структурно-текстурных особенностей горных пород, вскрытых параметрическими скважинами</t>
  </si>
  <si>
    <t>Приобретение и использование приборов и оборудования для гидрометеорологических наблюдений - всего, в том числе:</t>
  </si>
  <si>
    <t xml:space="preserve">Разработка мер по адаптационным действиям и практикам при рекреационной и оздоровительной деятельности, территориальном развитии, планировании транспортной инфраструктуры, разработке градо-строительных проектов общего, специального, детального планирования </t>
  </si>
  <si>
    <t>Продолжить реализацию мероприятия в 2019 году</t>
  </si>
  <si>
    <t>Продолжить реализацию мероприятия в 2019-2019 годах</t>
  </si>
  <si>
    <t xml:space="preserve">Текущее содержание организаций гидрометеорологии (объемы финансирования ежегодно уточняются при формировании республиканского бюджета на очередной финансовый год)
</t>
  </si>
  <si>
    <t>В соответствии с распоряжением Президента Республики Беларусь от 29.11.2018 № 238 рп "О выделении средств" дополнительно было предусмотрено выделение средств на содержание органов гидрометеорологии</t>
  </si>
  <si>
    <t>Продолжить реализацию  в 2019-2020 годах</t>
  </si>
  <si>
    <t>Совершенствование системы учета выбросов стойких органических загрязнителей при проведении инвентаризации выбросов в организациях, выдаче разрешений на выбросы и установлении допустимых выбросов - всего в том числе:</t>
  </si>
  <si>
    <t>Ведение и актуализация единой базы данных о стойких органических загрязнителях, содержащей информацию о пестицидах, объектах их размещения и территориях, ими загрязненных, полихлорированных бифенилах, оборудовании, материалах и отходах, содержащих полихлорированные бифенилы, и территориях, ими загрязненных, источниках выбросов стойких органических загряз-нителей в результате их непреднамеренного производства, количественном содержании стойких органических загрязнителей в объектах окружающей среды - всего в том числе:</t>
  </si>
  <si>
    <t>Выполнение работ по ликвидации Петриковского захоронения непригодных пестицидов - всего втом числе:</t>
  </si>
  <si>
    <t xml:space="preserve">2016, 
2018 – 2020
</t>
  </si>
  <si>
    <t xml:space="preserve">Инвентаризация ПХБ проводится организациями, являющимися собственниками (владельцами) оборудования и отходов, содержащих ПХБ, ежегодно не позднее 20 декабря в соответствии с Правилами обращения с оборудованием и отходами, содержащими ПХБ, утвержденными постановлением Минприроды от 24 июня 2008 г. № 62. По результатам проведения инвентаризации ПХБ в 2018 году всего в Республики Беларусь количество находящегося в эксплуатации (резерве) оборудования, содержащего ПХБ, составляет 25 767 единиц (в том числе: 25 552 конденсаторов и 215 трансформатора), а количество выведенного из эксплуатации такого оборудования – 26 922 единиц (в том числе: 
26 861 конденсаторов и 61 трансформатор).
Инвентаризация ПХБ проводится организациями, являющимися собственниками (владельцами) оборудования и отходов, содержащих ПХБ, ежегодно не позднее 20 декабря в соответствии с Правилами обращения с оборудованием и отходами, содержащими ПХБ, утвержденными постановлением Министерства природных ресурсов и охраны окружающей среды Республики Беларусь от 24 июня 2008 г. № 62.
По результатам проведения 
инвентаризации ПХБ в 2018 году всего в Республики Беларусь количество находящегося в эксплуатации (резерве) оборудования, содержащего ПХБ, составляет 25 767 единиц (в том числе: 25 552 конденсаторов и 215 трансформатора), а количество выведенного из эксплуатации такого оборудования – 26 922 единиц (в том числе: 
26 861 конденсаторов и 
61 трансформатор).
</t>
  </si>
  <si>
    <t>Проведение мониторинга стойких органических загрязнителей в компонентах природной среды, включая приобретение расходных материалов для проведения таких наблюдений - всего в том числе:</t>
  </si>
  <si>
    <t xml:space="preserve">Минстройархи-тектуры,
Минпром,
Минэнерго, концерн ”Белнефтехим“
</t>
  </si>
  <si>
    <t xml:space="preserve">Подготовка представлений о преобразовании заказников республиканского значения, включая определение координат поворотных точек их границ, в соответствии со схемой ("Бабиновичский", "Козьянский", "Стрельский") – всего, в том числе:
</t>
  </si>
  <si>
    <t>Повышение квалификации руководителей и работников государственных природоохранных учреждений, осуществляющих управление ООПТ, работников территориальных органов Минприроды по курсу "Организация природоохранной и туристической деятельности на ООПТ"</t>
  </si>
  <si>
    <t>2016,  2018,  2020</t>
  </si>
  <si>
    <t>обустройство молодежного учебно-экологического центра на базе интерната в поселке Домжерицы, включая разработку проектно-сметной документации</t>
  </si>
  <si>
    <t>строительство объектов для массового отдыха населения и обустройство рекреационных зон на озерах Струсто, Снуды, ключая разработку проектно-сметной документации</t>
  </si>
  <si>
    <t>Приобретение и установка информационных туристических терминалов, содержащих информацию об ООПТ, разработка и сопровождение сайтов об ООПТ, в том числе на английском языке, в Березинском биосферном заповеднике и национальных парках - всего, в том числе</t>
  </si>
  <si>
    <t xml:space="preserve">Подготовка, издание и распространение путеводителей, карт, памяток, буклетов и других рекламно-информационных материалов о Березинском биосферном заповеднике и (или) национальных парках на русском, белорусском и английском языках - всего, в том числе:
</t>
  </si>
  <si>
    <t>Мероприятия по развитию национальных парков и Березинского биосферного заповедника – всего</t>
  </si>
  <si>
    <t>Березинский биосферный заповедник – приобретение диких животных</t>
  </si>
  <si>
    <t>Национальный парк ”Браславские озера“ – всего</t>
  </si>
  <si>
    <t xml:space="preserve">реконструкция базы отдыха "Леошки" </t>
  </si>
  <si>
    <t>административного здания Национального парка "Браславские озера" в г.Браславе по ул.Дачной, 1, включая разработку проектно-сметной документации</t>
  </si>
  <si>
    <t>строительство помещений по первичной обработке и хранению продукции побочного пользования, включая разработку проектно-сметной документации</t>
  </si>
  <si>
    <t>капитальный ремонт с модернизацией административного здания Богинского лесничества с хозяйственными постройками, включая разработку проектно-сметной документации</t>
  </si>
  <si>
    <t>Национальный парк "Беловежская пуща" – текущий ремонт ведомственных асфальтированных дорог</t>
  </si>
  <si>
    <t>Национальный парк "Припятский" – приобретение диких животных</t>
  </si>
  <si>
    <t>Оплата произведена по факту выполненных работ (согласно счет-фактур)</t>
  </si>
  <si>
    <t>Продолжить реализацию мероприятия в  2020 году</t>
  </si>
  <si>
    <t>Продолжить реализацию мероприятия в  2019 - 2020 годах</t>
  </si>
  <si>
    <t>Мероприятие было выполнено за счет собственных средств природопользователей</t>
  </si>
  <si>
    <t>Разработка плана управления заказником республиканского значения "Селява" - всего, в том числе:</t>
  </si>
  <si>
    <t>2018-2019</t>
  </si>
  <si>
    <t>Продолжить реализацию мероприятия в  2019 году</t>
  </si>
  <si>
    <t>Создание на ООПТ визит-центров, разработка и обустройство ”зеленых маршрутов“, в том числе экологических троп, а также сопутствующей инфраструктуры, включая раз-работку проектно-сметной документации и приобретение оборудования - всего, в том числе:</t>
  </si>
  <si>
    <t>2016,             2018-2020</t>
  </si>
  <si>
    <t>2016,2018, 2020</t>
  </si>
  <si>
    <t>Создание на ООПТ визит-центров, разработка и обустройство ”зеленых маршру-тов“, в том числе экологических троп, а также сопутствующей инфраструктуры, включая разработку проектно-сметной документации и приобретение оборудования - всего, в том числе:</t>
  </si>
  <si>
    <t>Обустройство экологической тропы "Горки" на территории биологического заказника местного значения "Чериковский" выполнялось за счет средств "Чериковский лесхоз"</t>
  </si>
  <si>
    <t>Проведение учета животных, выявление особей, представляющих селекционную ценность - всего, в том числе:</t>
  </si>
  <si>
    <t xml:space="preserve">Инвентаризация учета животных, выявление особей, представляющих селекционную ценность, проводилась в рамках учета зубра и продолжалось в течении 2018 г. охотоведческой-егерской службой заказника. </t>
  </si>
  <si>
    <t>В заказнике "Налибокский" создана локальная база, которая заполняется на основании данных учета численности зубра</t>
  </si>
  <si>
    <t>За счет бюджета Минской области закуплен препарат "Альбендазен 10%", который использован в полном объеме при осуществлении профилактических мероприятий</t>
  </si>
  <si>
    <t>Закупка по факту выполненных работ</t>
  </si>
  <si>
    <t>Проведение учета животных, выявление особей, представляющих селекционную ценность, в угодьях Полесского государственного радиационно-экологического заповедника - всего, в том числе:</t>
  </si>
  <si>
    <t xml:space="preserve"> Проведение гельминтологических обследований и ветеринарной оценки состояния микропопуляции зубров Полесского государственного радиационно-
экологического заповедника, выполнение комплекса лечебно-профилактических мероприятий - всего, в том числе:</t>
  </si>
  <si>
    <t>Анализ реализации схемы расселения зубров и под-готовка научно обоснованных предложений о ее актуализации</t>
  </si>
  <si>
    <t>Проведение научно обоснованных действий (расселение, скрещивание) по поддержанию оптимальной численности и половозрастной структуры микро-популяции зубров, освежению крови, их изъятию в угодьях СПК "Озеры Гродненского района"</t>
  </si>
  <si>
    <t>Формирование и содержание сети подкормочных пунктов из расчета около 25 – 30 особей зубров на 1 площадку в угодьях республиканского ландшафтного заказника "Налибокский" - всего, в том числе:</t>
  </si>
  <si>
    <t>Проведение мониторинга состояния поверхностных вод по гидробиологическим показателям</t>
  </si>
  <si>
    <t xml:space="preserve"> Проведение на землях лесного фонда наблюдений за видами растений и грибов, употребляемых в пищу  - всего, в том числе:</t>
  </si>
  <si>
    <t>Организация и проведение V Международной научной конференции "Оценка состояния и мониторинг растительного мира" - всего, в том числе:</t>
  </si>
  <si>
    <t>Создание методической базы для обеспечения проведения наблюдений за дикими животными, обитающими на землях населенных пунктов, и средой их обитания - всего, в том числе:</t>
  </si>
  <si>
    <t>Проведение локального мониторинга состояния земель (включая почвы) в местах размещения источников их загрязнения и сбор данных в ходе локального мониторинга окружающей среды</t>
  </si>
  <si>
    <t>Продолжить реализацию в 2019-2020 годах</t>
  </si>
  <si>
    <t>197.1</t>
  </si>
  <si>
    <t>197.2</t>
  </si>
  <si>
    <t>197.3.</t>
  </si>
  <si>
    <t>197.4</t>
  </si>
  <si>
    <t>197.5</t>
  </si>
  <si>
    <t>197.6</t>
  </si>
  <si>
    <t>197.7</t>
  </si>
  <si>
    <t>197.8</t>
  </si>
  <si>
    <t>197.9</t>
  </si>
  <si>
    <t>197.10</t>
  </si>
  <si>
    <t>обеспечение функционирования системы особо охраняемых природных территорий, национальной экологической сети и биосферных резерватов, охрана типичных и редких природных ландшафтов и биотопов</t>
  </si>
  <si>
    <t>197.11</t>
  </si>
  <si>
    <t xml:space="preserve">Объемы финансирования в 2019 году
(в текущих ценах, рублей)
</t>
  </si>
  <si>
    <t xml:space="preserve">Объемы финансирования за весь период
(в текущих ценах, рублей)
</t>
  </si>
  <si>
    <t>из них научное обеспечение:</t>
  </si>
  <si>
    <t>разработка геоинформационных технологий получения, передачи и интерпретации геологических данных, включая информацию, получаемую Белорусским космическим аппаратом для составления и хранения цифровых карт при проведении государственной геологической съемки нового поколения</t>
  </si>
  <si>
    <t xml:space="preserve">Не состоялся электронный аукцион в связи с поздними сроками выделения дополнительного финансирования </t>
  </si>
  <si>
    <t>Продолжить реализацию мероприятия в 2018-2019 годах</t>
  </si>
  <si>
    <t>Оказание услуг по демонтажу, разбраковке и утилизации метеорологического радиолокационного оборудования - всего, в том числе:</t>
  </si>
  <si>
    <t>Подготовка двухгодичных докладов о выбросах парниковых газов  - всего, в том числе:</t>
  </si>
  <si>
    <t>Продолжить реализацию мероприятия в 2018 - 2020 годах</t>
  </si>
  <si>
    <t>2017-2019</t>
  </si>
  <si>
    <t xml:space="preserve">Разработка стратегии управления водными ресурсами в условиях изменения климата - всего, в том числе: </t>
  </si>
  <si>
    <t>Продолжить реализацию  в 2018-2020 годах</t>
  </si>
  <si>
    <t>Совершенствование системы учета выбросов стойких органических загрязнителей при проведении инвентаризации выбросов в организациях, выдаче разрешений на выбросы и установлении допустимых выбросов</t>
  </si>
  <si>
    <t>Продолжить реализацию  в 2018 году</t>
  </si>
  <si>
    <t>мероприятие выполненно за счет областного бюджета по разделу "Жилищно-коммунальное хозяйство"</t>
  </si>
  <si>
    <t>Заинтересованными госорганами не представлена информация о выполнении данного мероприятия</t>
  </si>
  <si>
    <t>Предлагается продолжить дальнейшую реализацию мероприятия, осуществив его корректировку в части объемов финансирования на последующие годы (2018 - 2020) в пределах выделенных средств</t>
  </si>
  <si>
    <t>Задача 10. Научное и техническое обеспечение в области обращения со стойкими органическими загрязнителями</t>
  </si>
  <si>
    <t xml:space="preserve">Создание (строительство) комплекса  по переработке и захоронению токсичных промышленных отходов Гомельской области на КУП "Комплекс по переработке и захоронению токсичных промышленных отходов Гомельской области"
</t>
  </si>
  <si>
    <t xml:space="preserve">В связи с не определением конкретной технологии по обезвреживанию опасных отходов решением Гомельского облисполкома от 03.11.2017               № 1020 «О внесении изменений и дополнения в решение Гомельского областного исполнительного комитета от              30 января 2017 № 82» средства на закупку оборудования были сняты с данного мероприятия. </t>
  </si>
  <si>
    <t>Предложений по дальнейшей  реализации мероприятия нет</t>
  </si>
  <si>
    <t xml:space="preserve">КУП "Комплекс по переработке и захоронению токсичных промышленных отходов Гомельской области" направлен пакет документов на участие в открытом конкурсном отборе инновационных проектов (создание (строительство) технологической линии по переработке и захоронению токсичных промышленных отходов производительностью 4 500 тонн) для финансирования за счет средств инновационного фонда Гомельского облисполкома в 2018 году. </t>
  </si>
  <si>
    <t>местный бюджет (инвестиционная программа)</t>
  </si>
  <si>
    <t xml:space="preserve">Подготовка представлений о преобразовании заказников республиканского значения, включая определение координат поворотных точек их границ, в соответствии со схемой ("Фаличский Мох") – всего, в том числе:
</t>
  </si>
  <si>
    <t>Подготовка и издание атласа диких животных Национального парка ”Беловежская пуща“</t>
  </si>
  <si>
    <t xml:space="preserve">Разработка мероприятий на пятилетний период в рамках планов управления ООПТ (республиканским ландшафтным заказником "Простырь", "Средняя Припять")
</t>
  </si>
  <si>
    <t>20176-2020</t>
  </si>
  <si>
    <t>Поддержание в надлежащем состоянии, в том числе реконструкция, объектов экологического туризма и отдыха государственных природоохранных учреждений, осуществляющих управление ООПТ республиканского значения, а также благоустройство территорий и создание новых объектов экологического туризма и отдыха</t>
  </si>
  <si>
    <t>Продолжить реализацию мероприятия в 2018 - 2019 годах</t>
  </si>
  <si>
    <t>Создание на ООПТ визит-центров, разработка и обустройство ”зеленых маршрутов“, в том числе экологических троп, а также сопутствующей инфраструктуры, включая раз-работку проектно-сметной документации и приобретение оборудования</t>
  </si>
  <si>
    <t>Приобретение и установка информационных туристических терминалов, включающих информацию об ООПТ, разработка сайтов об ООПТ, в том числе на английском языке</t>
  </si>
  <si>
    <t>Изготовление и установка на ООПТ искусственных гнездовий для птиц, относящихся к видам диких животных, включенным в Красную книгу Республики Беларусь</t>
  </si>
  <si>
    <t>Закупка минерально-витаминных и иммуностимулирующих добавок для микропопуляций зубров – всего, в том числе:</t>
  </si>
  <si>
    <t>Проведение семинаров по обмену опытом по сохранению и воспроизводству зубров в Национальном парке ”Припятский“</t>
  </si>
  <si>
    <t>Проведение научно обоснованных действий (расселение, скрещивание) по поддержанию оптимальной численности и половозрастной структуры микропопуляции зубров, освежению крови, их изъятию в угодьях Осиповичского опытного лесхоза</t>
  </si>
  <si>
    <t>Издание научно-популярных брошюр и буклетов о зубрах</t>
  </si>
  <si>
    <t>мероприятие выполнено в феврале 2018 г.</t>
  </si>
  <si>
    <t>Обеспечение технического переоснащения сети мониторинга атмосферного воздуха</t>
  </si>
  <si>
    <t>Продолжить реализацию в 2018-2020 годах</t>
  </si>
  <si>
    <t>215.1</t>
  </si>
  <si>
    <t>215.2</t>
  </si>
  <si>
    <t>снято в резерв финансовыми органами</t>
  </si>
  <si>
    <t>215.3.</t>
  </si>
  <si>
    <t>215.4</t>
  </si>
  <si>
    <t>215.5</t>
  </si>
  <si>
    <t>215.6</t>
  </si>
  <si>
    <t>рациональное использование и охрана недр</t>
  </si>
  <si>
    <t xml:space="preserve">Минский облисполком </t>
  </si>
  <si>
    <t>215.7</t>
  </si>
  <si>
    <t>215.8</t>
  </si>
  <si>
    <t>215.9</t>
  </si>
  <si>
    <t>215.10</t>
  </si>
  <si>
    <t xml:space="preserve">Брестский облисполком </t>
  </si>
  <si>
    <t>215.11</t>
  </si>
  <si>
    <t>обеспечение мониторинга окружающей среды и гидрометеорологической деятельности</t>
  </si>
  <si>
    <t>215.12</t>
  </si>
  <si>
    <t>научное обеспечение - разработка геоинформационных технологий получения, передачи и интерпретации геологических данных, включая информацию, получаемую Белорусским космическим аппаратом для составления и хранения цифровых карт при проведении государственной геологической съемки нового поколения</t>
  </si>
  <si>
    <t>научное обеспечение – разработка методиче-ского руководства по изучению структурно-вещественных особен-ностей хемогенно-тер-ригенных пород девон-ских осадочных ком-плексов Припятского прогиба при проведе-нии региональных гео-логосъемочных работ</t>
  </si>
  <si>
    <t>2019-2020</t>
  </si>
  <si>
    <t>Оценка угроз биологическому разнообразию и продуктивности естественных экологических систем Беларуси, обусловленных изменением климата, и разработка мер по их сохранению</t>
  </si>
  <si>
    <t>2019 - 2020</t>
  </si>
  <si>
    <t>2017 ‑ 2018</t>
  </si>
  <si>
    <t>2016 - 2018</t>
  </si>
  <si>
    <t>Совершенствование ”Экологической карты“ города Орша</t>
  </si>
  <si>
    <t>2016 - 2017</t>
  </si>
  <si>
    <t xml:space="preserve">собственные средства </t>
  </si>
  <si>
    <t xml:space="preserve">2016, 
2018, 2020
</t>
  </si>
  <si>
    <t>Вывод из эксплуатации (замена) оборудования, содержащего полихлорированные бифенилы</t>
  </si>
  <si>
    <t>Разработка планов и целевых показателей по сокращению непреднамеренных выбросов стойких органических загрязнителей</t>
  </si>
  <si>
    <t xml:space="preserve">Публикация информационных материалов по вопросам стойких органических загрязнителей </t>
  </si>
  <si>
    <t>2016, 2019</t>
  </si>
  <si>
    <t>Создание, размещение и распространение социальной рекламы, направленной на привлечение внимания общественности к проблеме стойких органических загрязнителей</t>
  </si>
  <si>
    <t>2016, 2020</t>
  </si>
  <si>
    <t>Создание (строительство) комплекса  по переработке и захоронению токсичных промышленных отходов Гомельской области на КУП ”Комплекс по переработке и захоронению токсичных промышленных отходов Гомельской области“</t>
  </si>
  <si>
    <t>2017, 2019, 2020</t>
  </si>
  <si>
    <t>Задача 7. Обеспечение функционирования и развития системы наблюдений за состоянием озонового слоя</t>
  </si>
  <si>
    <t>Проведение наблюдений за состоянием озонового слоя и оперативное прогнозирование значения ультрафиолетового индекса</t>
  </si>
  <si>
    <t>Проведение регулярных измерений уровня приземного ультрафиолетового солнечного излучения</t>
  </si>
  <si>
    <t>2016, 2017, 2019,2020</t>
  </si>
  <si>
    <t>Техническая доработка и совершенствование программного обеспечения баз данных главного информационно-аналитического центра Национальной системы мониторинга окружающей среды в Республике Беларусь и базы данных локального мониторинга</t>
  </si>
  <si>
    <t xml:space="preserve">Обеспечение функционирования системы сбора, обработки, анализа и представления данных информационно-аналитическим центром мониторинга озонового слоя в составе Национальной системы мониторинга окружающей среды в Республике Беларусь с использованием автоматизированных информационных систем </t>
  </si>
  <si>
    <t>2016, 2017, 2019, 2020</t>
  </si>
  <si>
    <t xml:space="preserve">Обеспечение функционирования системы сбора, обработки, анализа и представления данных информационно-аналитическим центром мониторинга земель в составе Национальной системы мониторинга окружающей среды в Республике Беларусь с использованием автоматизированных информационных систем - всего, в том числе:
</t>
  </si>
  <si>
    <t>облисполкомы</t>
  </si>
  <si>
    <t>научное обеспечение охраны окружающей среды</t>
  </si>
  <si>
    <t xml:space="preserve">Комплекс мероприятий в области охраны окружающей среды, реализация которых осуществляется в соответствии с Государственной инвестиционной программой 
</t>
  </si>
  <si>
    <t>Доплеровский метеорологический радиолокатор на территории аэропорта г.Витебска (включая проектно-изыскательские работы) (окончание работ согласно акту приемки)</t>
  </si>
  <si>
    <t xml:space="preserve">Строительство доплеровского метеорологического радиолокатора на территории аэропорта г.Гродно, включая проектно-изыскательские работы </t>
  </si>
  <si>
    <t>Строительство доплеровского метеорологического радиолокатора на территории аэропорта г.Бреста, включая проектно-изыскательские работы</t>
  </si>
  <si>
    <t>Строительство горнообогатительного комбината на базе месторождения ”Ситницкое“. Реконструкция подстанции ”Гранитная“ 110 кВ (сметная стоимость определена в ценах 2014 года)</t>
  </si>
  <si>
    <t>Строительство объектов историко-этнографического комплекса ”Музей под открытым небом“ в ГПУ ”Национальный парк ”Припятский“. Корректировка объекта с выделением первой, второй, третьей очередей строительства, а также дополнительной реконструкцией водного канала</t>
  </si>
  <si>
    <t>Минпророды</t>
  </si>
  <si>
    <t>Минстройархитектуры</t>
  </si>
  <si>
    <t>2019, 2020</t>
  </si>
  <si>
    <t>республиканский бюджет – средства на финансирование капитальных вложений (Государственная инвестиционная программа)</t>
  </si>
  <si>
    <t>республиканский бюджет – средства резервного фонда Президента Республики Беларусь на финансирование капитальных вложений (Государственная инвестиционная программа)</t>
  </si>
  <si>
    <t>Итого по комплексу в соответствии с Государственной инвестиционной программой, в том числе:</t>
  </si>
  <si>
    <t>Комплекс мероприятий в области охраны окружающей среды, реализация которых осуществлялась в 2016 году</t>
  </si>
  <si>
    <t>местные бюджеты</t>
  </si>
  <si>
    <t>средства на финансирование капитальных вложений (Государственная инвестиционная программа)</t>
  </si>
  <si>
    <t xml:space="preserve"> средства резервного фонда Президента Республики Беларусь на финансирование капитальных вложений (Государственная инвестиционная программа)</t>
  </si>
  <si>
    <t xml:space="preserve">Подготовка представлений о преобразовании заказников республиканского значения, включая определение коор-динат поворотных точек их границ, в соответствии со схемой рационального раз-мещения особо охраняемых природных территорий рес-публиканского значения до 1 января 2025 г., утвержден-ной постановлением Совета Министров Республики Беларусь от 2 июля 2014 г. № 649 всего, в том числе: (”Бусловка“, ”Прибужское Полесье“, ”Сервечь“, ”Красный Бор“,  ”Фаличский Мох“, ”Бабиновичский“, ”Козьянский“, ”Стрельский“, ”Выдрица“, ”Ольманские болота“, ”Днепро-Сожский“
</t>
  </si>
  <si>
    <t>2016, 2017</t>
  </si>
  <si>
    <t>Изготовление и установка на территории заказников и памятников природы информационных и информационно-указательных знаков, рекламно-информационных щитов</t>
  </si>
  <si>
    <t>республиканский бюджет, из них:</t>
  </si>
  <si>
    <t>резервный фонд Президента Республики Беларусь</t>
  </si>
  <si>
    <t>В 2019 г. закуплено 16 АМС, введено в эксплуатацию 15.  АМС запланированная к установке автономно в пункте наблюдений г.Лельчицы в 2019 году не введена в эксплуатацию по причине срыва подрядчиком сроков выполнения работ. Строительство объекта запланировано на 1 кв.2020 года</t>
  </si>
  <si>
    <t xml:space="preserve">В 2017 г. не состоялся электронный аукцион в связи с поздними сроками выделения дополнительного финансирования </t>
  </si>
  <si>
    <t>Финансирование на 2019 г. уточнено в размере 1626,54 руб.</t>
  </si>
  <si>
    <t>Разработка мероприятий на пятилетний период в рамках планов управления ООПТ, в том числе:</t>
  </si>
  <si>
    <t>республиканским ландшафтным заказником ”Званец“</t>
  </si>
  <si>
    <t>республиканским ландшафтным заказником ”Простырь“</t>
  </si>
  <si>
    <t>республиканским ландшафтным заказником ”Средняя Припять“</t>
  </si>
  <si>
    <t>Закупка антигельминтных и иных ветеринарных препаратов для микропопуляции зубров, обитающих в угодьях Полесского государственного радиационно-экологического заповедника</t>
  </si>
  <si>
    <t>2016, 2019,2020</t>
  </si>
  <si>
    <t>Закупка минерально-витаминных и иммуностимулирующих добавок для микропопуляции зубров, обитающих в угодьях Полесского государственного радиационно-экологического заповедника</t>
  </si>
  <si>
    <t>Разработка плана управления заказником республиканского значения ”Лунинский“</t>
  </si>
  <si>
    <t xml:space="preserve">Инвентаризация учета животных, выявление особей, представляющих селекционную ценность, проводилась в рамках учета зубра и продолжалось в течении 2018 - 2019г. охотоведческой-егерской службой заказника. </t>
  </si>
  <si>
    <t>За счет бюджета Минской области выпалнялось мероприятие</t>
  </si>
  <si>
    <t>Работы выполнялись ННИЦ МО БГУ, при этом, что финансирование не было выделено</t>
  </si>
  <si>
    <t>Закупка телеметрического оборудования, фотоловушек и проведение работ по научному обеспечению мероприятий по контролю за состоянием популяций зубров</t>
  </si>
  <si>
    <t>Формирование и ведение племенной книги зубров</t>
  </si>
  <si>
    <t>Разработка доз и комплекса антигельминтных препаратов для проведения дегельминтизации зубров</t>
  </si>
  <si>
    <t>Разработка минерально-витаминных и иммуностимулирующих добавок (премиксов) для зубров</t>
  </si>
  <si>
    <t>Генотипирование особей европейского зубра (Bison bonasus) и создание депонированного банка ДНК беловежского зубра</t>
  </si>
  <si>
    <t>Закупка оборудования, расходных материалов для сбора материала для генотипирования особей и создания депонированного банка ДНК беловежского зубра</t>
  </si>
  <si>
    <t xml:space="preserve">Разработка научно обоснованных рекомендаций по созданию оптимальных экологических условий (улучшение кормовых условий) формирования свободноживущих микропопуляций зубров по каждой микропопуляции </t>
  </si>
  <si>
    <t>Объявление биосферных резерватов ”Беловежская пуща“ и ”Припятское Полесье“</t>
  </si>
  <si>
    <t>Строительство эколого-информационного центра, включая разработку проектно-смет­ной документации и приобретение оборудования, в республиканском ландшафтном заказнике ”Прибужское По-лесье“</t>
  </si>
  <si>
    <t>Разработка мероприятий на пятилетний период в рамках плана управления республи-канским ландшафтным заказником ”Освейский“</t>
  </si>
  <si>
    <t>Закупка антигельминтных и иных ветеринарных препаратов для микропопуляции зубров, обитающих в угодьях ООО ”Интерсервис“</t>
  </si>
  <si>
    <t>Закупка минерально-витаминных и иммуностиму-лирующих добавок для мик-ропопуляции зубров, обитающих в угодьях ООО ”Интерсервис“</t>
  </si>
  <si>
    <t>2016, 2019, 2020</t>
  </si>
  <si>
    <t>Объявление биосферного резервата ”Припятское Полесье“</t>
  </si>
  <si>
    <t>2018, 2020</t>
  </si>
  <si>
    <t>2017, 2020</t>
  </si>
  <si>
    <t>2016 - 2019, 2020</t>
  </si>
  <si>
    <t>Отсутствие финансирование в 2016 г.</t>
  </si>
  <si>
    <t>Отказ ООО "Белая тропа" от выполнения мероприятия</t>
  </si>
  <si>
    <t>Закупка антигельминтных и иных ветеринарных препаратов для микропопуляции зубров, обитающих в угодьях ГЛХУ ”Дятловский лесхоз“</t>
  </si>
  <si>
    <t>Закупка минерально-витаминных и иммуностимулирующих добавок для микропопуляции зубров, обитающих в угодьях ГЛХУ ”Дятловский лесхоз“</t>
  </si>
  <si>
    <t xml:space="preserve">Заготовка и (или) приобретение кормов для зубров, обитающих в угодьях СПК "Озеры", "Дятловский лесхоз" - всего, в том числе:
</t>
  </si>
  <si>
    <t>Поддержание кормовых полей для зубров, обитающих в угодьях ГЛХУ ”Дятловский лесхоз“</t>
  </si>
  <si>
    <t xml:space="preserve">Не выбран исполнитель мероприятия по итогам конкурса в связи с отсутствием предложений </t>
  </si>
  <si>
    <t>Объявление биосферного резервата ”Березинский биосферный заповедник“</t>
  </si>
  <si>
    <t>Приобретение и установка информационных туристических терминалов, содержащих информацию об ООПТ, разработка и сопровождение сайтов об ООПТ, в том числе на английском языке</t>
  </si>
  <si>
    <t>2016,2018 - 2020</t>
  </si>
  <si>
    <t>Создание условий для функционирования международного центра изучения дикой природы на базе Национального парка "Беловежская пуща"</t>
  </si>
  <si>
    <t>Березинский биосферный заповедник – строительство помещений по первичной обработке и хранению продукции побочного пользования, включая разработку проектно-сметной документации</t>
  </si>
  <si>
    <t>Закупка минерально-витаминных и иммуностимулирующих добавок  для микропопуляций зубров - всего, в том числе:</t>
  </si>
  <si>
    <t>Издание научно-популярных брошюр, буклетов, фотоальбомов о зубрах, обитающих в угодьях Национального парка ”Припятский“</t>
  </si>
  <si>
    <t>Отказ заказчика от реализации мероприятия</t>
  </si>
  <si>
    <t>274.1</t>
  </si>
  <si>
    <t>274.7</t>
  </si>
  <si>
    <t>274.5</t>
  </si>
  <si>
    <t>274.6</t>
  </si>
  <si>
    <t>274.9</t>
  </si>
  <si>
    <t>274.2</t>
  </si>
  <si>
    <t>274.3.</t>
  </si>
  <si>
    <t>274.4</t>
  </si>
  <si>
    <t>274.8</t>
  </si>
  <si>
    <t>274.10</t>
  </si>
  <si>
    <t>274.11</t>
  </si>
  <si>
    <t>274.12</t>
  </si>
  <si>
    <t>274.13</t>
  </si>
  <si>
    <t xml:space="preserve">Введение в действие гигиенических нормативов содержания полибромированных дифениловых эфиров (БДЭ-47, БДЭ-99, БДЭ-209) в питьевой воде, рыбе и рыбной продукции и методик для их аналитического определения - всего в том числе: </t>
  </si>
  <si>
    <t>Приложение 2</t>
  </si>
  <si>
    <t xml:space="preserve">местный бюджет </t>
  </si>
  <si>
    <t xml:space="preserve">В 2019 году обеспечен ввод в эксплуатацию объекта «Комплекс по переработке и захоронению токсичных промышленных отходов в Гомельской области» 1 очереди 2-го пускового комплекса, 
акт приемки в эксплуатацию объекта строительства от 23.12.2019, приказ КУП «Гомельский областной УКС» об утверждении акта приемки объекта в эксплуатацию от 23.12.2019 № 438.
</t>
  </si>
  <si>
    <t>Степень выполнения мероприятия определена на основе экспертной оценки с учетом сложного финансово-экономического состаяния  преприятий</t>
  </si>
  <si>
    <t xml:space="preserve">Бюджетные ассигнования перераспределены на мероприятия подпрограммы 6 </t>
  </si>
  <si>
    <t>Мероприятие выполнялось за счет собственных средств природоохранных учреждений и землепользователей</t>
  </si>
  <si>
    <t>Приложение 3</t>
  </si>
  <si>
    <t xml:space="preserve">Объемы финансирования за 2016 - 2020 годы
(в текущих ценах, рублей)
</t>
  </si>
  <si>
    <t xml:space="preserve">фактически </t>
  </si>
  <si>
    <t>Информация об объемах финансирования мероприятий Государственной программы "Охрана окружающей среды и устойчивое использование природных ресурсов"  на 2016 - 2020 годы</t>
  </si>
  <si>
    <t>Форма 7</t>
  </si>
  <si>
    <t xml:space="preserve">Подготовка, издание и распространение путеводителей, карт, памяток, буклетов и других рекламно-информационных материалов об ООПТ на русском, белорусском и английском языках - всего, в том числе:
</t>
  </si>
  <si>
    <t>Создание на ООПТ визит-центров, разработка и обустройство ”зеленых маршрутов“, в том числе экологических троп, а также сопутствующей инфраструктуры, включая разработку проектно-сметной документации и приобретение оборудования - всего, 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</si>
</sst>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"/>
    <numFmt numFmtId="167" formatCode="0.0"/>
    <numFmt numFmtId="168" formatCode="_-* #,##0.0_р_._-;\-* #,##0.0_р_._-;_-* &quot;-&quot;?_р_._-;_-@_-"/>
    <numFmt numFmtId="169" formatCode="#,##0.0\ _₽;\-#,##0.0\ _₽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Calibri"/>
      <family val="2"/>
      <charset val="204"/>
      <scheme val="minor"/>
    </font>
    <font>
      <i/>
      <sz val="15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5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5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5"/>
      <color rgb="FFFF0000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72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1" fontId="0" fillId="0" borderId="0" xfId="0" applyNumberFormat="1" applyAlignment="1">
      <alignment vertical="top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1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166" fontId="2" fillId="0" borderId="0" xfId="0" applyNumberFormat="1" applyFont="1" applyBorder="1" applyAlignment="1">
      <alignment horizontal="center" vertical="top" wrapText="1"/>
    </xf>
    <xf numFmtId="1" fontId="2" fillId="2" borderId="0" xfId="0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1" fontId="7" fillId="0" borderId="0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1" fontId="2" fillId="0" borderId="0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166" fontId="8" fillId="0" borderId="0" xfId="0" applyNumberFormat="1" applyFont="1" applyBorder="1" applyAlignment="1">
      <alignment horizontal="center" vertical="top" wrapText="1"/>
    </xf>
    <xf numFmtId="167" fontId="2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center" vertical="top" wrapText="1"/>
    </xf>
    <xf numFmtId="4" fontId="8" fillId="0" borderId="0" xfId="0" applyNumberFormat="1" applyFont="1" applyBorder="1" applyAlignment="1">
      <alignment horizontal="center" vertical="top" wrapText="1"/>
    </xf>
    <xf numFmtId="4" fontId="7" fillId="0" borderId="0" xfId="0" applyNumberFormat="1" applyFont="1" applyBorder="1" applyAlignment="1">
      <alignment horizontal="center" vertical="top" wrapText="1"/>
    </xf>
    <xf numFmtId="168" fontId="2" fillId="0" borderId="0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1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165" fontId="2" fillId="0" borderId="0" xfId="0" applyNumberFormat="1" applyFont="1" applyBorder="1" applyAlignment="1">
      <alignment horizontal="center" vertical="top" wrapText="1"/>
    </xf>
    <xf numFmtId="165" fontId="8" fillId="0" borderId="0" xfId="0" applyNumberFormat="1" applyFont="1" applyBorder="1" applyAlignment="1">
      <alignment horizontal="center" vertical="top" wrapText="1"/>
    </xf>
    <xf numFmtId="167" fontId="8" fillId="0" borderId="0" xfId="0" applyNumberFormat="1" applyFont="1" applyBorder="1" applyAlignment="1">
      <alignment horizontal="center" vertical="top" wrapText="1"/>
    </xf>
    <xf numFmtId="169" fontId="2" fillId="0" borderId="0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top"/>
    </xf>
    <xf numFmtId="167" fontId="2" fillId="0" borderId="0" xfId="0" applyNumberFormat="1" applyFont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0" fontId="2" fillId="0" borderId="0" xfId="0" applyFont="1"/>
    <xf numFmtId="4" fontId="8" fillId="0" borderId="0" xfId="0" applyNumberFormat="1" applyFont="1" applyAlignment="1">
      <alignment horizontal="center" vertical="top"/>
    </xf>
    <xf numFmtId="167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" fontId="7" fillId="0" borderId="0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2" fontId="2" fillId="0" borderId="0" xfId="1" applyNumberFormat="1" applyFont="1" applyBorder="1" applyAlignment="1">
      <alignment horizontal="center" vertical="top" wrapText="1"/>
    </xf>
    <xf numFmtId="1" fontId="2" fillId="0" borderId="0" xfId="1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2" fontId="2" fillId="0" borderId="0" xfId="1" applyNumberFormat="1" applyFont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164" fontId="2" fillId="0" borderId="0" xfId="1" applyNumberFormat="1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2" fontId="2" fillId="2" borderId="0" xfId="1" applyNumberFormat="1" applyFont="1" applyFill="1" applyBorder="1" applyAlignment="1">
      <alignment horizontal="center" vertical="top" wrapText="1"/>
    </xf>
    <xf numFmtId="1" fontId="2" fillId="2" borderId="0" xfId="1" applyNumberFormat="1" applyFont="1" applyFill="1" applyBorder="1" applyAlignment="1">
      <alignment horizontal="center" vertical="top" wrapText="1"/>
    </xf>
    <xf numFmtId="164" fontId="2" fillId="0" borderId="0" xfId="1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2" fontId="2" fillId="0" borderId="0" xfId="1" applyNumberFormat="1" applyFont="1" applyFill="1" applyBorder="1" applyAlignment="1">
      <alignment horizontal="center" vertical="top" wrapText="1"/>
    </xf>
    <xf numFmtId="1" fontId="2" fillId="0" borderId="0" xfId="1" applyNumberFormat="1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left" vertical="top" wrapText="1"/>
    </xf>
    <xf numFmtId="2" fontId="8" fillId="0" borderId="0" xfId="1" applyNumberFormat="1" applyFont="1" applyBorder="1" applyAlignment="1">
      <alignment horizontal="center" vertical="top" wrapText="1"/>
    </xf>
    <xf numFmtId="2" fontId="10" fillId="0" borderId="0" xfId="1" applyNumberFormat="1" applyFont="1" applyBorder="1" applyAlignment="1">
      <alignment horizontal="center" vertical="top" wrapText="1"/>
    </xf>
    <xf numFmtId="2" fontId="2" fillId="0" borderId="0" xfId="1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2" fontId="8" fillId="0" borderId="0" xfId="1" applyNumberFormat="1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 wrapText="1"/>
    </xf>
    <xf numFmtId="4" fontId="2" fillId="0" borderId="0" xfId="1" applyNumberFormat="1" applyFont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2" fontId="8" fillId="2" borderId="0" xfId="0" applyNumberFormat="1" applyFont="1" applyFill="1" applyBorder="1" applyAlignment="1">
      <alignment horizontal="center" vertical="top" wrapText="1"/>
    </xf>
    <xf numFmtId="2" fontId="2" fillId="2" borderId="0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top"/>
    </xf>
    <xf numFmtId="1" fontId="2" fillId="2" borderId="0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horizontal="center" vertical="top"/>
    </xf>
    <xf numFmtId="1" fontId="13" fillId="2" borderId="0" xfId="0" applyNumberFormat="1" applyFont="1" applyFill="1" applyBorder="1" applyAlignment="1">
      <alignment horizontal="center" vertical="top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top"/>
    </xf>
    <xf numFmtId="2" fontId="13" fillId="2" borderId="0" xfId="0" applyNumberFormat="1" applyFont="1" applyFill="1" applyBorder="1" applyAlignment="1">
      <alignment horizontal="center" vertical="top" wrapText="1"/>
    </xf>
    <xf numFmtId="1" fontId="13" fillId="2" borderId="0" xfId="0" applyNumberFormat="1" applyFont="1" applyFill="1" applyBorder="1" applyAlignment="1">
      <alignment horizontal="center" vertical="top" wrapText="1"/>
    </xf>
    <xf numFmtId="2" fontId="13" fillId="2" borderId="0" xfId="0" applyNumberFormat="1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1" fontId="14" fillId="2" borderId="0" xfId="0" applyNumberFormat="1" applyFont="1" applyFill="1" applyBorder="1" applyAlignment="1">
      <alignment horizontal="center" vertical="top" wrapText="1"/>
    </xf>
    <xf numFmtId="166" fontId="13" fillId="2" borderId="0" xfId="0" applyNumberFormat="1" applyFont="1" applyFill="1" applyBorder="1" applyAlignment="1">
      <alignment horizontal="right" vertical="center" wrapText="1"/>
    </xf>
    <xf numFmtId="166" fontId="14" fillId="2" borderId="0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vertical="top" wrapText="1"/>
    </xf>
    <xf numFmtId="2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vertical="center" wrapText="1"/>
    </xf>
    <xf numFmtId="2" fontId="8" fillId="0" borderId="0" xfId="0" applyNumberFormat="1" applyFont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center"/>
    </xf>
    <xf numFmtId="0" fontId="11" fillId="0" borderId="0" xfId="0" applyFont="1" applyAlignment="1">
      <alignment horizontal="center" vertical="top"/>
    </xf>
    <xf numFmtId="1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166" fontId="7" fillId="0" borderId="0" xfId="0" applyNumberFormat="1" applyFont="1" applyBorder="1" applyAlignment="1">
      <alignment horizontal="center" vertical="top" wrapText="1"/>
    </xf>
    <xf numFmtId="166" fontId="13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166" fontId="15" fillId="0" borderId="0" xfId="0" applyNumberFormat="1" applyFont="1" applyAlignment="1">
      <alignment horizontal="center" vertical="top"/>
    </xf>
    <xf numFmtId="166" fontId="2" fillId="0" borderId="0" xfId="0" applyNumberFormat="1" applyFont="1" applyAlignment="1">
      <alignment horizontal="center" vertical="top"/>
    </xf>
    <xf numFmtId="166" fontId="8" fillId="0" borderId="0" xfId="0" applyNumberFormat="1" applyFont="1" applyAlignment="1">
      <alignment horizontal="center" vertical="top"/>
    </xf>
    <xf numFmtId="166" fontId="3" fillId="0" borderId="0" xfId="0" applyNumberFormat="1" applyFont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1" fontId="14" fillId="0" borderId="0" xfId="0" applyNumberFormat="1" applyFont="1" applyBorder="1" applyAlignment="1">
      <alignment horizontal="right" vertical="top" wrapText="1"/>
    </xf>
    <xf numFmtId="166" fontId="13" fillId="0" borderId="0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14" fillId="0" borderId="0" xfId="0" applyNumberFormat="1" applyFont="1" applyBorder="1" applyAlignment="1">
      <alignment horizontal="right" vertical="center" wrapText="1"/>
    </xf>
    <xf numFmtId="0" fontId="10" fillId="2" borderId="0" xfId="0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center" vertical="top"/>
    </xf>
    <xf numFmtId="1" fontId="16" fillId="2" borderId="0" xfId="0" applyNumberFormat="1" applyFont="1" applyFill="1" applyAlignment="1">
      <alignment vertical="top"/>
    </xf>
    <xf numFmtId="0" fontId="16" fillId="2" borderId="0" xfId="0" applyFont="1" applyFill="1"/>
    <xf numFmtId="0" fontId="10" fillId="2" borderId="0" xfId="0" applyFont="1" applyFill="1" applyAlignment="1">
      <alignment horizontal="right"/>
    </xf>
    <xf numFmtId="0" fontId="17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center" vertical="top"/>
    </xf>
    <xf numFmtId="1" fontId="18" fillId="2" borderId="0" xfId="0" applyNumberFormat="1" applyFont="1" applyFill="1" applyAlignment="1">
      <alignment vertical="top"/>
    </xf>
    <xf numFmtId="0" fontId="18" fillId="2" borderId="0" xfId="0" applyFont="1" applyFill="1" applyAlignment="1">
      <alignment vertical="top"/>
    </xf>
    <xf numFmtId="0" fontId="10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center" vertical="top" wrapText="1"/>
    </xf>
    <xf numFmtId="1" fontId="17" fillId="2" borderId="0" xfId="0" applyNumberFormat="1" applyFont="1" applyFill="1" applyAlignment="1">
      <alignment horizontal="center" vertical="top" wrapText="1"/>
    </xf>
    <xf numFmtId="0" fontId="17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4" fontId="10" fillId="2" borderId="0" xfId="0" applyNumberFormat="1" applyFont="1" applyFill="1" applyBorder="1" applyAlignment="1">
      <alignment horizontal="center" vertical="top" wrapText="1"/>
    </xf>
    <xf numFmtId="166" fontId="10" fillId="2" borderId="0" xfId="0" applyNumberFormat="1" applyFont="1" applyFill="1" applyBorder="1" applyAlignment="1">
      <alignment horizontal="center" vertical="top" wrapText="1"/>
    </xf>
    <xf numFmtId="1" fontId="10" fillId="2" borderId="0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vertical="top" wrapText="1"/>
    </xf>
    <xf numFmtId="0" fontId="21" fillId="2" borderId="0" xfId="0" applyFont="1" applyFill="1" applyBorder="1" applyAlignment="1">
      <alignment horizontal="center" vertical="top" wrapText="1"/>
    </xf>
    <xf numFmtId="0" fontId="21" fillId="2" borderId="0" xfId="0" applyFont="1" applyFill="1" applyBorder="1" applyAlignment="1">
      <alignment horizontal="left" vertical="top" wrapText="1"/>
    </xf>
    <xf numFmtId="4" fontId="21" fillId="2" borderId="0" xfId="0" applyNumberFormat="1" applyFont="1" applyFill="1" applyBorder="1" applyAlignment="1">
      <alignment horizontal="center" vertical="top" wrapText="1"/>
    </xf>
    <xf numFmtId="166" fontId="21" fillId="2" borderId="0" xfId="0" applyNumberFormat="1" applyFont="1" applyFill="1" applyBorder="1" applyAlignment="1">
      <alignment horizontal="center" vertical="top" wrapText="1"/>
    </xf>
    <xf numFmtId="1" fontId="21" fillId="2" borderId="0" xfId="0" applyNumberFormat="1" applyFont="1" applyFill="1" applyBorder="1" applyAlignment="1">
      <alignment horizontal="center" vertical="top" wrapText="1"/>
    </xf>
    <xf numFmtId="0" fontId="22" fillId="2" borderId="0" xfId="0" applyFont="1" applyFill="1"/>
    <xf numFmtId="0" fontId="21" fillId="2" borderId="0" xfId="0" applyFont="1" applyFill="1" applyAlignment="1">
      <alignment horizontal="left" vertical="top"/>
    </xf>
    <xf numFmtId="0" fontId="10" fillId="2" borderId="0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vertical="top" wrapText="1"/>
    </xf>
    <xf numFmtId="0" fontId="23" fillId="2" borderId="0" xfId="0" applyFont="1" applyFill="1" applyBorder="1" applyAlignment="1">
      <alignment horizontal="left" vertical="top" wrapText="1"/>
    </xf>
    <xf numFmtId="4" fontId="23" fillId="2" borderId="0" xfId="0" applyNumberFormat="1" applyFont="1" applyFill="1" applyBorder="1" applyAlignment="1">
      <alignment horizontal="center" vertical="top" wrapText="1"/>
    </xf>
    <xf numFmtId="166" fontId="23" fillId="2" borderId="0" xfId="0" applyNumberFormat="1" applyFont="1" applyFill="1" applyBorder="1" applyAlignment="1">
      <alignment horizontal="center" vertical="top" wrapText="1"/>
    </xf>
    <xf numFmtId="167" fontId="10" fillId="2" borderId="0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/>
    <xf numFmtId="0" fontId="18" fillId="2" borderId="0" xfId="0" applyFont="1" applyFill="1" applyBorder="1" applyAlignment="1">
      <alignment horizontal="left" vertical="top" wrapText="1"/>
    </xf>
    <xf numFmtId="0" fontId="24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top"/>
    </xf>
    <xf numFmtId="167" fontId="23" fillId="2" borderId="0" xfId="0" applyNumberFormat="1" applyFont="1" applyFill="1" applyBorder="1" applyAlignment="1">
      <alignment horizontal="center" vertical="top" wrapText="1"/>
    </xf>
    <xf numFmtId="167" fontId="21" fillId="2" borderId="0" xfId="0" applyNumberFormat="1" applyFont="1" applyFill="1" applyBorder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/>
    </xf>
    <xf numFmtId="167" fontId="10" fillId="2" borderId="0" xfId="0" applyNumberFormat="1" applyFont="1" applyFill="1" applyAlignment="1">
      <alignment horizontal="center" vertical="top"/>
    </xf>
    <xf numFmtId="1" fontId="10" fillId="2" borderId="0" xfId="0" applyNumberFormat="1" applyFont="1" applyFill="1" applyAlignment="1">
      <alignment horizontal="center" vertical="top"/>
    </xf>
    <xf numFmtId="4" fontId="21" fillId="2" borderId="0" xfId="0" applyNumberFormat="1" applyFont="1" applyFill="1" applyAlignment="1">
      <alignment horizontal="center" vertical="top"/>
    </xf>
    <xf numFmtId="167" fontId="21" fillId="2" borderId="0" xfId="0" applyNumberFormat="1" applyFont="1" applyFill="1" applyAlignment="1">
      <alignment horizontal="center" vertical="top"/>
    </xf>
    <xf numFmtId="4" fontId="23" fillId="2" borderId="0" xfId="0" applyNumberFormat="1" applyFont="1" applyFill="1" applyAlignment="1">
      <alignment horizontal="center" vertical="top"/>
    </xf>
    <xf numFmtId="167" fontId="23" fillId="2" borderId="0" xfId="0" applyNumberFormat="1" applyFont="1" applyFill="1" applyAlignment="1">
      <alignment horizontal="center" vertical="top"/>
    </xf>
    <xf numFmtId="0" fontId="21" fillId="2" borderId="0" xfId="0" applyFont="1" applyFill="1" applyAlignment="1">
      <alignment horizontal="center" vertical="top"/>
    </xf>
    <xf numFmtId="0" fontId="25" fillId="2" borderId="0" xfId="0" applyFont="1" applyFill="1"/>
    <xf numFmtId="0" fontId="24" fillId="2" borderId="0" xfId="0" applyFont="1" applyFill="1" applyAlignment="1">
      <alignment horizontal="center" vertical="top"/>
    </xf>
    <xf numFmtId="4" fontId="21" fillId="2" borderId="0" xfId="0" applyNumberFormat="1" applyFont="1" applyFill="1" applyBorder="1" applyAlignment="1">
      <alignment horizontal="left" vertical="top" wrapText="1"/>
    </xf>
    <xf numFmtId="4" fontId="10" fillId="2" borderId="0" xfId="0" applyNumberFormat="1" applyFont="1" applyFill="1" applyBorder="1" applyAlignment="1">
      <alignment horizontal="left" vertical="top" wrapText="1"/>
    </xf>
    <xf numFmtId="1" fontId="21" fillId="2" borderId="0" xfId="0" applyNumberFormat="1" applyFont="1" applyFill="1" applyAlignment="1">
      <alignment horizontal="center" vertical="top"/>
    </xf>
    <xf numFmtId="1" fontId="21" fillId="2" borderId="0" xfId="0" applyNumberFormat="1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vertical="top" wrapText="1"/>
    </xf>
    <xf numFmtId="0" fontId="24" fillId="2" borderId="0" xfId="0" applyFont="1" applyFill="1" applyBorder="1" applyAlignment="1">
      <alignment horizontal="center" vertical="top" wrapText="1"/>
    </xf>
    <xf numFmtId="1" fontId="23" fillId="2" borderId="0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top" wrapText="1"/>
    </xf>
    <xf numFmtId="0" fontId="26" fillId="2" borderId="0" xfId="0" applyFont="1" applyFill="1" applyAlignment="1">
      <alignment horizontal="center" vertical="top" wrapText="1"/>
    </xf>
    <xf numFmtId="0" fontId="26" fillId="2" borderId="0" xfId="0" applyFont="1" applyFill="1" applyAlignment="1">
      <alignment horizontal="center" vertical="center" wrapText="1"/>
    </xf>
    <xf numFmtId="1" fontId="26" fillId="2" borderId="0" xfId="0" applyNumberFormat="1" applyFont="1" applyFill="1" applyAlignment="1">
      <alignment horizontal="center" vertical="top" wrapText="1"/>
    </xf>
    <xf numFmtId="1" fontId="10" fillId="2" borderId="0" xfId="0" applyNumberFormat="1" applyFont="1" applyFill="1" applyAlignment="1">
      <alignment horizontal="center" vertical="top" wrapText="1"/>
    </xf>
    <xf numFmtId="4" fontId="17" fillId="2" borderId="0" xfId="0" applyNumberFormat="1" applyFont="1" applyFill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top" wrapText="1"/>
    </xf>
    <xf numFmtId="167" fontId="10" fillId="2" borderId="0" xfId="1" applyNumberFormat="1" applyFont="1" applyFill="1" applyBorder="1" applyAlignment="1">
      <alignment horizontal="center" vertical="top" wrapText="1"/>
    </xf>
    <xf numFmtId="1" fontId="10" fillId="2" borderId="0" xfId="1" applyNumberFormat="1" applyFont="1" applyFill="1" applyBorder="1" applyAlignment="1">
      <alignment horizontal="center" vertical="top" wrapText="1"/>
    </xf>
    <xf numFmtId="4" fontId="21" fillId="2" borderId="0" xfId="1" applyNumberFormat="1" applyFont="1" applyFill="1" applyBorder="1" applyAlignment="1">
      <alignment horizontal="center" vertical="top" wrapText="1"/>
    </xf>
    <xf numFmtId="167" fontId="21" fillId="2" borderId="0" xfId="1" applyNumberFormat="1" applyFont="1" applyFill="1" applyBorder="1" applyAlignment="1">
      <alignment horizontal="center" vertical="top" wrapText="1"/>
    </xf>
    <xf numFmtId="1" fontId="21" fillId="2" borderId="0" xfId="1" applyNumberFormat="1" applyFont="1" applyFill="1" applyBorder="1" applyAlignment="1">
      <alignment horizontal="center" vertical="top" wrapText="1"/>
    </xf>
    <xf numFmtId="0" fontId="27" fillId="2" borderId="0" xfId="0" applyFont="1" applyFill="1" applyBorder="1" applyAlignment="1">
      <alignment vertical="top" wrapText="1"/>
    </xf>
    <xf numFmtId="4" fontId="10" fillId="2" borderId="0" xfId="1" applyNumberFormat="1" applyFont="1" applyFill="1" applyAlignment="1">
      <alignment horizontal="center" vertical="top" wrapText="1"/>
    </xf>
    <xf numFmtId="164" fontId="10" fillId="2" borderId="0" xfId="1" applyNumberFormat="1" applyFont="1" applyFill="1" applyBorder="1" applyAlignment="1">
      <alignment horizontal="center" vertical="top" wrapText="1"/>
    </xf>
    <xf numFmtId="0" fontId="21" fillId="2" borderId="0" xfId="0" applyFont="1" applyFill="1" applyAlignment="1">
      <alignment horizontal="center" vertical="center" wrapText="1"/>
    </xf>
    <xf numFmtId="164" fontId="21" fillId="2" borderId="0" xfId="1" applyNumberFormat="1" applyFont="1" applyFill="1" applyBorder="1" applyAlignment="1">
      <alignment horizontal="center" vertical="top" wrapText="1"/>
    </xf>
    <xf numFmtId="0" fontId="21" fillId="2" borderId="0" xfId="0" applyFont="1" applyFill="1"/>
    <xf numFmtId="4" fontId="21" fillId="2" borderId="0" xfId="0" applyNumberFormat="1" applyFont="1" applyFill="1" applyAlignment="1">
      <alignment vertical="top" wrapText="1"/>
    </xf>
    <xf numFmtId="4" fontId="26" fillId="2" borderId="0" xfId="0" applyNumberFormat="1" applyFont="1" applyFill="1" applyAlignment="1">
      <alignment horizontal="center" vertical="center" wrapText="1"/>
    </xf>
    <xf numFmtId="4" fontId="23" fillId="2" borderId="0" xfId="1" applyNumberFormat="1" applyFont="1" applyFill="1" applyBorder="1" applyAlignment="1">
      <alignment horizontal="center" vertical="top" wrapText="1"/>
    </xf>
    <xf numFmtId="167" fontId="23" fillId="2" borderId="0" xfId="1" applyNumberFormat="1" applyFont="1" applyFill="1" applyBorder="1" applyAlignment="1">
      <alignment horizontal="center" vertical="top" wrapText="1"/>
    </xf>
    <xf numFmtId="4" fontId="21" fillId="2" borderId="0" xfId="0" applyNumberFormat="1" applyFont="1" applyFill="1"/>
    <xf numFmtId="4" fontId="21" fillId="2" borderId="0" xfId="1" applyNumberFormat="1" applyFont="1" applyFill="1" applyBorder="1" applyAlignment="1">
      <alignment horizontal="center" vertical="center" wrapText="1"/>
    </xf>
    <xf numFmtId="167" fontId="21" fillId="2" borderId="0" xfId="1" applyNumberFormat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167" fontId="10" fillId="2" borderId="0" xfId="1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Alignment="1">
      <alignment horizontal="center" vertical="center"/>
    </xf>
    <xf numFmtId="2" fontId="10" fillId="2" borderId="0" xfId="1" applyNumberFormat="1" applyFont="1" applyFill="1" applyBorder="1" applyAlignment="1">
      <alignment horizontal="center" vertical="center" wrapText="1"/>
    </xf>
    <xf numFmtId="2" fontId="10" fillId="2" borderId="0" xfId="1" applyNumberFormat="1" applyFont="1" applyFill="1" applyBorder="1" applyAlignment="1">
      <alignment horizontal="center" vertical="top" wrapText="1"/>
    </xf>
    <xf numFmtId="2" fontId="21" fillId="2" borderId="0" xfId="1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4" fontId="23" fillId="2" borderId="0" xfId="1" applyNumberFormat="1" applyFont="1" applyFill="1" applyBorder="1" applyAlignment="1">
      <alignment horizontal="center" vertical="center" wrapText="1"/>
    </xf>
    <xf numFmtId="167" fontId="23" fillId="2" borderId="0" xfId="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8" fillId="2" borderId="0" xfId="0" applyFont="1" applyFill="1"/>
    <xf numFmtId="2" fontId="21" fillId="2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4" fontId="10" fillId="2" borderId="0" xfId="0" applyNumberFormat="1" applyFont="1" applyFill="1" applyBorder="1" applyAlignment="1">
      <alignment horizontal="center" vertical="top"/>
    </xf>
    <xf numFmtId="0" fontId="21" fillId="2" borderId="0" xfId="0" applyFont="1" applyFill="1" applyBorder="1" applyAlignment="1">
      <alignment horizontal="center" vertical="top"/>
    </xf>
    <xf numFmtId="4" fontId="21" fillId="2" borderId="0" xfId="0" applyNumberFormat="1" applyFont="1" applyFill="1" applyBorder="1" applyAlignment="1">
      <alignment horizontal="center" vertical="top"/>
    </xf>
    <xf numFmtId="1" fontId="21" fillId="2" borderId="0" xfId="0" applyNumberFormat="1" applyFont="1" applyFill="1" applyBorder="1" applyAlignment="1">
      <alignment horizontal="center" vertical="top"/>
    </xf>
    <xf numFmtId="0" fontId="10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2" fontId="21" fillId="2" borderId="0" xfId="0" applyNumberFormat="1" applyFont="1" applyFill="1" applyBorder="1" applyAlignment="1">
      <alignment vertical="center" wrapText="1"/>
    </xf>
    <xf numFmtId="0" fontId="21" fillId="2" borderId="0" xfId="0" applyFont="1" applyFill="1" applyBorder="1" applyAlignment="1">
      <alignment vertical="center" wrapText="1"/>
    </xf>
    <xf numFmtId="166" fontId="10" fillId="2" borderId="0" xfId="0" applyNumberFormat="1" applyFont="1" applyFill="1" applyBorder="1" applyAlignment="1">
      <alignment horizontal="right" vertical="center" wrapText="1"/>
    </xf>
    <xf numFmtId="166" fontId="21" fillId="2" borderId="0" xfId="0" applyNumberFormat="1" applyFont="1" applyFill="1" applyBorder="1" applyAlignment="1">
      <alignment horizontal="right" vertical="center" wrapText="1"/>
    </xf>
    <xf numFmtId="166" fontId="21" fillId="2" borderId="0" xfId="0" applyNumberFormat="1" applyFont="1" applyFill="1" applyBorder="1" applyAlignment="1">
      <alignment horizontal="right" vertical="top" wrapText="1"/>
    </xf>
    <xf numFmtId="0" fontId="10" fillId="2" borderId="0" xfId="0" applyFont="1" applyFill="1" applyBorder="1" applyAlignment="1">
      <alignment vertical="top" wrapText="1"/>
    </xf>
    <xf numFmtId="0" fontId="21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center" wrapText="1"/>
    </xf>
    <xf numFmtId="2" fontId="21" fillId="2" borderId="0" xfId="0" applyNumberFormat="1" applyFont="1" applyFill="1" applyBorder="1" applyAlignment="1">
      <alignment horizontal="center" vertical="top" wrapText="1"/>
    </xf>
    <xf numFmtId="0" fontId="21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top" wrapText="1"/>
    </xf>
    <xf numFmtId="1" fontId="10" fillId="2" borderId="0" xfId="0" applyNumberFormat="1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center" vertical="top"/>
    </xf>
    <xf numFmtId="1" fontId="10" fillId="2" borderId="0" xfId="0" applyNumberFormat="1" applyFont="1" applyFill="1" applyBorder="1" applyAlignment="1">
      <alignment horizontal="center" vertical="top"/>
    </xf>
    <xf numFmtId="0" fontId="25" fillId="2" borderId="0" xfId="0" applyFont="1" applyFill="1" applyAlignment="1">
      <alignment horizontal="center" vertical="top"/>
    </xf>
    <xf numFmtId="1" fontId="25" fillId="2" borderId="0" xfId="0" applyNumberFormat="1" applyFont="1" applyFill="1" applyAlignment="1">
      <alignment horizontal="center" vertical="top"/>
    </xf>
    <xf numFmtId="0" fontId="25" fillId="2" borderId="0" xfId="0" applyFont="1" applyFill="1" applyAlignment="1">
      <alignment vertical="center"/>
    </xf>
    <xf numFmtId="0" fontId="28" fillId="2" borderId="0" xfId="0" applyFont="1" applyFill="1" applyAlignment="1">
      <alignment horizontal="center" vertical="top"/>
    </xf>
    <xf numFmtId="1" fontId="28" fillId="2" borderId="0" xfId="0" applyNumberFormat="1" applyFont="1" applyFill="1" applyAlignment="1">
      <alignment horizontal="center" vertical="top"/>
    </xf>
    <xf numFmtId="0" fontId="28" fillId="2" borderId="0" xfId="0" applyFont="1" applyFill="1" applyAlignment="1">
      <alignment vertical="center"/>
    </xf>
    <xf numFmtId="2" fontId="17" fillId="2" borderId="0" xfId="0" applyNumberFormat="1" applyFont="1" applyFill="1" applyAlignment="1">
      <alignment horizontal="center" vertical="center" wrapText="1"/>
    </xf>
    <xf numFmtId="166" fontId="10" fillId="2" borderId="0" xfId="0" applyNumberFormat="1" applyFont="1" applyFill="1" applyAlignment="1">
      <alignment horizontal="center" vertical="top"/>
    </xf>
    <xf numFmtId="166" fontId="17" fillId="2" borderId="0" xfId="0" applyNumberFormat="1" applyFont="1" applyFill="1" applyAlignment="1">
      <alignment horizontal="center" vertical="center" wrapText="1"/>
    </xf>
    <xf numFmtId="1" fontId="21" fillId="2" borderId="0" xfId="0" applyNumberFormat="1" applyFont="1" applyFill="1" applyBorder="1" applyAlignment="1">
      <alignment horizontal="right" vertical="top" wrapText="1"/>
    </xf>
    <xf numFmtId="166" fontId="16" fillId="2" borderId="0" xfId="0" applyNumberFormat="1" applyFont="1" applyFill="1"/>
    <xf numFmtId="1" fontId="29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0" fontId="33" fillId="0" borderId="0" xfId="0" applyFont="1"/>
    <xf numFmtId="0" fontId="2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167" fontId="7" fillId="0" borderId="0" xfId="0" applyNumberFormat="1" applyFont="1" applyBorder="1" applyAlignment="1">
      <alignment horizontal="center" vertical="top" wrapText="1"/>
    </xf>
    <xf numFmtId="4" fontId="7" fillId="0" borderId="0" xfId="0" applyNumberFormat="1" applyFont="1" applyAlignment="1">
      <alignment horizontal="center" vertical="top"/>
    </xf>
    <xf numFmtId="167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" fontId="7" fillId="0" borderId="0" xfId="0" applyNumberFormat="1" applyFont="1" applyAlignment="1">
      <alignment horizontal="center" vertical="top"/>
    </xf>
    <xf numFmtId="1" fontId="8" fillId="0" borderId="0" xfId="0" applyNumberFormat="1" applyFont="1" applyBorder="1" applyAlignment="1">
      <alignment horizontal="center" vertical="top" wrapText="1"/>
    </xf>
    <xf numFmtId="0" fontId="0" fillId="0" borderId="0" xfId="0" applyFont="1"/>
    <xf numFmtId="0" fontId="7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center" wrapText="1"/>
    </xf>
    <xf numFmtId="1" fontId="34" fillId="0" borderId="0" xfId="0" applyNumberFormat="1" applyFont="1" applyAlignment="1">
      <alignment horizontal="center" vertical="top" wrapText="1"/>
    </xf>
    <xf numFmtId="4" fontId="2" fillId="0" borderId="0" xfId="1" applyNumberFormat="1" applyFont="1" applyBorder="1" applyAlignment="1">
      <alignment horizontal="center" vertical="top" wrapText="1"/>
    </xf>
    <xf numFmtId="167" fontId="2" fillId="0" borderId="0" xfId="1" applyNumberFormat="1" applyFont="1" applyBorder="1" applyAlignment="1">
      <alignment horizontal="center" vertical="top" wrapText="1"/>
    </xf>
    <xf numFmtId="4" fontId="7" fillId="0" borderId="0" xfId="1" applyNumberFormat="1" applyFont="1" applyBorder="1" applyAlignment="1">
      <alignment horizontal="center" vertical="top" wrapText="1"/>
    </xf>
    <xf numFmtId="167" fontId="7" fillId="0" borderId="0" xfId="1" applyNumberFormat="1" applyFont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center" vertical="top" wrapText="1"/>
    </xf>
    <xf numFmtId="4" fontId="2" fillId="0" borderId="0" xfId="1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4" fontId="2" fillId="0" borderId="0" xfId="1" applyNumberFormat="1" applyFont="1" applyFill="1" applyBorder="1" applyAlignment="1">
      <alignment horizontal="center" vertical="top" wrapText="1"/>
    </xf>
    <xf numFmtId="167" fontId="2" fillId="0" borderId="0" xfId="1" applyNumberFormat="1" applyFont="1" applyFill="1" applyBorder="1" applyAlignment="1">
      <alignment horizontal="center" vertical="top" wrapText="1"/>
    </xf>
    <xf numFmtId="0" fontId="3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33" fillId="0" borderId="0" xfId="0" applyFont="1" applyFill="1"/>
    <xf numFmtId="4" fontId="2" fillId="2" borderId="0" xfId="1" applyNumberFormat="1" applyFont="1" applyFill="1" applyBorder="1" applyAlignment="1">
      <alignment horizontal="center" vertical="top" wrapText="1"/>
    </xf>
    <xf numFmtId="4" fontId="7" fillId="2" borderId="0" xfId="1" applyNumberFormat="1" applyFont="1" applyFill="1" applyBorder="1" applyAlignment="1">
      <alignment horizontal="center" vertical="top" wrapText="1"/>
    </xf>
    <xf numFmtId="1" fontId="7" fillId="2" borderId="0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Border="1" applyAlignment="1">
      <alignment horizontal="center" vertical="top" wrapText="1"/>
    </xf>
    <xf numFmtId="167" fontId="8" fillId="0" borderId="0" xfId="1" applyNumberFormat="1" applyFont="1" applyBorder="1" applyAlignment="1">
      <alignment horizontal="center" vertical="top" wrapText="1"/>
    </xf>
    <xf numFmtId="0" fontId="2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4" fontId="10" fillId="0" borderId="0" xfId="1" applyNumberFormat="1" applyFont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4" fontId="7" fillId="0" borderId="0" xfId="1" applyNumberFormat="1" applyFont="1" applyBorder="1" applyAlignment="1">
      <alignment horizontal="center" vertical="center" wrapText="1"/>
    </xf>
    <xf numFmtId="167" fontId="7" fillId="0" borderId="0" xfId="1" applyNumberFormat="1" applyFont="1" applyBorder="1" applyAlignment="1">
      <alignment horizontal="center" vertical="center" wrapText="1"/>
    </xf>
    <xf numFmtId="167" fontId="2" fillId="0" borderId="0" xfId="1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 vertical="top" wrapText="1"/>
    </xf>
    <xf numFmtId="164" fontId="7" fillId="0" borderId="0" xfId="1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4" fontId="7" fillId="0" borderId="0" xfId="1" applyNumberFormat="1" applyFont="1" applyFill="1" applyBorder="1" applyAlignment="1">
      <alignment horizontal="center" vertical="center" wrapText="1"/>
    </xf>
    <xf numFmtId="167" fontId="7" fillId="0" borderId="0" xfId="1" applyNumberFormat="1" applyFont="1" applyFill="1" applyBorder="1" applyAlignment="1">
      <alignment horizontal="center" vertical="center" wrapText="1"/>
    </xf>
    <xf numFmtId="1" fontId="7" fillId="0" borderId="0" xfId="1" applyNumberFormat="1" applyFont="1" applyFill="1" applyBorder="1" applyAlignment="1">
      <alignment horizontal="center" vertical="top" wrapText="1"/>
    </xf>
    <xf numFmtId="4" fontId="2" fillId="0" borderId="0" xfId="1" applyNumberFormat="1" applyFont="1" applyFill="1" applyBorder="1" applyAlignment="1">
      <alignment horizontal="center" vertical="center" wrapText="1"/>
    </xf>
    <xf numFmtId="167" fontId="2" fillId="0" borderId="0" xfId="1" applyNumberFormat="1" applyFont="1" applyFill="1" applyBorder="1" applyAlignment="1">
      <alignment horizontal="center" vertical="center" wrapText="1"/>
    </xf>
    <xf numFmtId="2" fontId="7" fillId="0" borderId="0" xfId="1" applyNumberFormat="1" applyFont="1" applyBorder="1" applyAlignment="1">
      <alignment horizontal="center" vertical="center" wrapText="1"/>
    </xf>
    <xf numFmtId="0" fontId="35" fillId="0" borderId="0" xfId="0" applyFont="1" applyAlignment="1">
      <alignment horizontal="center" vertical="top" wrapText="1"/>
    </xf>
    <xf numFmtId="0" fontId="35" fillId="0" borderId="0" xfId="0" applyFont="1" applyFill="1" applyBorder="1" applyAlignment="1">
      <alignment horizontal="left" vertical="top" wrapText="1"/>
    </xf>
    <xf numFmtId="164" fontId="35" fillId="0" borderId="0" xfId="1" applyNumberFormat="1" applyFont="1" applyFill="1" applyBorder="1" applyAlignment="1">
      <alignment horizontal="center" vertical="top" wrapText="1"/>
    </xf>
    <xf numFmtId="0" fontId="35" fillId="0" borderId="0" xfId="0" applyFont="1" applyBorder="1" applyAlignment="1">
      <alignment horizontal="center" vertical="top" wrapText="1"/>
    </xf>
    <xf numFmtId="4" fontId="35" fillId="0" borderId="0" xfId="1" applyNumberFormat="1" applyFont="1" applyBorder="1" applyAlignment="1">
      <alignment horizontal="center" vertical="top" wrapText="1"/>
    </xf>
    <xf numFmtId="167" fontId="35" fillId="0" borderId="0" xfId="1" applyNumberFormat="1" applyFont="1" applyBorder="1" applyAlignment="1">
      <alignment horizontal="center" vertical="top" wrapText="1"/>
    </xf>
    <xf numFmtId="1" fontId="35" fillId="0" borderId="0" xfId="1" applyNumberFormat="1" applyFont="1" applyBorder="1" applyAlignment="1">
      <alignment horizontal="center" vertical="top" wrapText="1"/>
    </xf>
    <xf numFmtId="0" fontId="36" fillId="0" borderId="0" xfId="0" applyFont="1" applyAlignment="1">
      <alignment horizontal="center" vertical="center" wrapText="1"/>
    </xf>
    <xf numFmtId="0" fontId="35" fillId="0" borderId="0" xfId="0" applyFont="1" applyAlignment="1">
      <alignment vertical="top" wrapText="1"/>
    </xf>
    <xf numFmtId="0" fontId="37" fillId="0" borderId="0" xfId="0" applyFont="1" applyAlignment="1">
      <alignment horizontal="center" vertical="top" wrapText="1"/>
    </xf>
    <xf numFmtId="0" fontId="37" fillId="0" borderId="0" xfId="0" applyFont="1" applyFill="1" applyBorder="1" applyAlignment="1">
      <alignment horizontal="left" vertical="top" wrapText="1"/>
    </xf>
    <xf numFmtId="164" fontId="37" fillId="0" borderId="0" xfId="1" applyNumberFormat="1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2" fontId="37" fillId="0" borderId="0" xfId="1" applyNumberFormat="1" applyFont="1" applyBorder="1" applyAlignment="1">
      <alignment horizontal="center" vertical="center" wrapText="1"/>
    </xf>
    <xf numFmtId="4" fontId="37" fillId="0" borderId="0" xfId="1" applyNumberFormat="1" applyFont="1" applyBorder="1" applyAlignment="1">
      <alignment horizontal="center" vertical="center" wrapText="1"/>
    </xf>
    <xf numFmtId="167" fontId="37" fillId="0" borderId="0" xfId="1" applyNumberFormat="1" applyFont="1" applyBorder="1" applyAlignment="1">
      <alignment horizontal="center" vertical="center" wrapText="1"/>
    </xf>
    <xf numFmtId="1" fontId="37" fillId="0" borderId="0" xfId="1" applyNumberFormat="1" applyFont="1" applyBorder="1" applyAlignment="1">
      <alignment horizontal="center" vertical="top" wrapText="1"/>
    </xf>
    <xf numFmtId="0" fontId="3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4" fontId="8" fillId="0" borderId="0" xfId="1" applyNumberFormat="1" applyFont="1" applyBorder="1" applyAlignment="1">
      <alignment horizontal="center" vertical="center" wrapText="1"/>
    </xf>
    <xf numFmtId="167" fontId="8" fillId="0" borderId="0" xfId="1" applyNumberFormat="1" applyFont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top" wrapText="1"/>
    </xf>
    <xf numFmtId="167" fontId="2" fillId="2" borderId="0" xfId="0" applyNumberFormat="1" applyFont="1" applyFill="1" applyBorder="1" applyAlignment="1">
      <alignment horizontal="center" vertical="top" wrapText="1"/>
    </xf>
    <xf numFmtId="4" fontId="7" fillId="2" borderId="0" xfId="0" applyNumberFormat="1" applyFont="1" applyFill="1" applyBorder="1" applyAlignment="1">
      <alignment horizontal="center" vertical="top" wrapText="1"/>
    </xf>
    <xf numFmtId="167" fontId="7" fillId="2" borderId="0" xfId="0" applyNumberFormat="1" applyFont="1" applyFill="1" applyBorder="1" applyAlignment="1">
      <alignment horizontal="center" vertical="top" wrapText="1"/>
    </xf>
    <xf numFmtId="1" fontId="7" fillId="2" borderId="0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39" fillId="0" borderId="0" xfId="0" applyFont="1"/>
    <xf numFmtId="4" fontId="8" fillId="2" borderId="0" xfId="0" applyNumberFormat="1" applyFont="1" applyFill="1" applyBorder="1" applyAlignment="1">
      <alignment horizontal="center" vertical="top" wrapText="1"/>
    </xf>
    <xf numFmtId="167" fontId="8" fillId="2" borderId="0" xfId="0" applyNumberFormat="1" applyFont="1" applyFill="1" applyBorder="1" applyAlignment="1">
      <alignment horizontal="center" vertical="top" wrapText="1"/>
    </xf>
    <xf numFmtId="2" fontId="7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4" fontId="7" fillId="2" borderId="0" xfId="0" applyNumberFormat="1" applyFont="1" applyFill="1" applyBorder="1" applyAlignment="1">
      <alignment horizontal="center" vertical="top"/>
    </xf>
    <xf numFmtId="1" fontId="7" fillId="2" borderId="0" xfId="0" applyNumberFormat="1" applyFont="1" applyFill="1" applyBorder="1" applyAlignment="1">
      <alignment horizontal="center" vertical="top"/>
    </xf>
    <xf numFmtId="4" fontId="13" fillId="2" borderId="0" xfId="0" applyNumberFormat="1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center" vertical="top"/>
    </xf>
    <xf numFmtId="4" fontId="14" fillId="2" borderId="0" xfId="0" applyNumberFormat="1" applyFont="1" applyFill="1" applyBorder="1" applyAlignment="1">
      <alignment horizontal="center" vertical="top"/>
    </xf>
    <xf numFmtId="1" fontId="14" fillId="2" borderId="0" xfId="0" applyNumberFormat="1" applyFont="1" applyFill="1" applyBorder="1" applyAlignment="1">
      <alignment horizontal="center" vertical="top"/>
    </xf>
    <xf numFmtId="0" fontId="14" fillId="2" borderId="0" xfId="0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horizontal="center" vertical="top" wrapText="1"/>
    </xf>
    <xf numFmtId="4" fontId="14" fillId="2" borderId="0" xfId="0" applyNumberFormat="1" applyFont="1" applyFill="1" applyBorder="1" applyAlignment="1">
      <alignment horizontal="center" vertical="top" wrapText="1"/>
    </xf>
    <xf numFmtId="2" fontId="14" fillId="2" borderId="0" xfId="0" applyNumberFormat="1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66" fontId="14" fillId="2" borderId="0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2" fontId="7" fillId="2" borderId="0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1" fontId="7" fillId="2" borderId="0" xfId="0" applyNumberFormat="1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center"/>
    </xf>
    <xf numFmtId="0" fontId="39" fillId="0" borderId="0" xfId="0" applyFont="1" applyAlignment="1">
      <alignment horizontal="center" vertical="top"/>
    </xf>
    <xf numFmtId="1" fontId="39" fillId="0" borderId="0" xfId="0" applyNumberFormat="1" applyFont="1" applyAlignment="1">
      <alignment horizontal="center" vertical="top"/>
    </xf>
    <xf numFmtId="0" fontId="39" fillId="0" borderId="0" xfId="0" applyFont="1" applyAlignment="1">
      <alignment vertical="center"/>
    </xf>
    <xf numFmtId="4" fontId="13" fillId="0" borderId="0" xfId="0" applyNumberFormat="1" applyFont="1" applyAlignment="1">
      <alignment horizontal="center" vertical="top"/>
    </xf>
    <xf numFmtId="4" fontId="14" fillId="0" borderId="0" xfId="0" applyNumberFormat="1" applyFont="1" applyAlignment="1">
      <alignment horizontal="center" vertical="top"/>
    </xf>
    <xf numFmtId="4" fontId="15" fillId="0" borderId="0" xfId="0" applyNumberFormat="1" applyFont="1" applyAlignment="1">
      <alignment horizontal="center" vertical="top"/>
    </xf>
    <xf numFmtId="0" fontId="29" fillId="2" borderId="1" xfId="0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center" vertical="top"/>
    </xf>
    <xf numFmtId="0" fontId="29" fillId="2" borderId="1" xfId="0" applyFont="1" applyFill="1" applyBorder="1" applyAlignment="1">
      <alignment horizontal="center" vertical="top"/>
    </xf>
    <xf numFmtId="0" fontId="29" fillId="2" borderId="1" xfId="0" applyFont="1" applyFill="1" applyBorder="1" applyAlignment="1">
      <alignment horizontal="left" vertical="top" wrapText="1"/>
    </xf>
    <xf numFmtId="4" fontId="29" fillId="2" borderId="1" xfId="0" applyNumberFormat="1" applyFont="1" applyFill="1" applyBorder="1" applyAlignment="1">
      <alignment horizontal="center" vertical="top" wrapText="1"/>
    </xf>
    <xf numFmtId="166" fontId="29" fillId="2" borderId="1" xfId="0" applyNumberFormat="1" applyFont="1" applyFill="1" applyBorder="1" applyAlignment="1">
      <alignment horizontal="center" vertical="top" wrapText="1"/>
    </xf>
    <xf numFmtId="0" fontId="31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center" vertical="top" wrapText="1"/>
    </xf>
    <xf numFmtId="4" fontId="31" fillId="2" borderId="1" xfId="0" applyNumberFormat="1" applyFont="1" applyFill="1" applyBorder="1" applyAlignment="1">
      <alignment horizontal="center" vertical="top" wrapText="1"/>
    </xf>
    <xf numFmtId="166" fontId="31" fillId="2" borderId="1" xfId="0" applyNumberFormat="1" applyFont="1" applyFill="1" applyBorder="1" applyAlignment="1">
      <alignment horizontal="center" vertical="top" wrapText="1"/>
    </xf>
    <xf numFmtId="1" fontId="31" fillId="2" borderId="1" xfId="0" applyNumberFormat="1" applyFont="1" applyFill="1" applyBorder="1" applyAlignment="1">
      <alignment horizontal="center" vertical="top" wrapText="1"/>
    </xf>
    <xf numFmtId="0" fontId="31" fillId="2" borderId="1" xfId="0" applyFont="1" applyFill="1" applyBorder="1" applyAlignment="1">
      <alignment horizontal="left" vertical="top"/>
    </xf>
    <xf numFmtId="0" fontId="29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top" wrapText="1"/>
    </xf>
    <xf numFmtId="4" fontId="30" fillId="2" borderId="1" xfId="0" applyNumberFormat="1" applyFont="1" applyFill="1" applyBorder="1" applyAlignment="1">
      <alignment horizontal="center" vertical="top" wrapText="1"/>
    </xf>
    <xf numFmtId="166" fontId="30" fillId="2" borderId="1" xfId="0" applyNumberFormat="1" applyFont="1" applyFill="1" applyBorder="1" applyAlignment="1">
      <alignment horizontal="center" vertical="top" wrapText="1"/>
    </xf>
    <xf numFmtId="167" fontId="29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/>
    <xf numFmtId="167" fontId="30" fillId="2" borderId="1" xfId="0" applyNumberFormat="1" applyFont="1" applyFill="1" applyBorder="1" applyAlignment="1">
      <alignment horizontal="center" vertical="top" wrapText="1"/>
    </xf>
    <xf numFmtId="167" fontId="31" fillId="2" borderId="1" xfId="0" applyNumberFormat="1" applyFont="1" applyFill="1" applyBorder="1" applyAlignment="1">
      <alignment horizontal="center" vertical="top" wrapText="1"/>
    </xf>
    <xf numFmtId="4" fontId="29" fillId="2" borderId="1" xfId="0" applyNumberFormat="1" applyFont="1" applyFill="1" applyBorder="1" applyAlignment="1">
      <alignment horizontal="center" vertical="top"/>
    </xf>
    <xf numFmtId="167" fontId="29" fillId="2" borderId="1" xfId="0" applyNumberFormat="1" applyFont="1" applyFill="1" applyBorder="1" applyAlignment="1">
      <alignment horizontal="center" vertical="top"/>
    </xf>
    <xf numFmtId="1" fontId="29" fillId="2" borderId="1" xfId="0" applyNumberFormat="1" applyFont="1" applyFill="1" applyBorder="1" applyAlignment="1">
      <alignment horizontal="center" vertical="top"/>
    </xf>
    <xf numFmtId="4" fontId="31" fillId="2" borderId="1" xfId="0" applyNumberFormat="1" applyFont="1" applyFill="1" applyBorder="1" applyAlignment="1">
      <alignment horizontal="center" vertical="top"/>
    </xf>
    <xf numFmtId="167" fontId="31" fillId="2" borderId="1" xfId="0" applyNumberFormat="1" applyFont="1" applyFill="1" applyBorder="1" applyAlignment="1">
      <alignment horizontal="center" vertical="top"/>
    </xf>
    <xf numFmtId="4" fontId="30" fillId="2" borderId="1" xfId="0" applyNumberFormat="1" applyFont="1" applyFill="1" applyBorder="1" applyAlignment="1">
      <alignment horizontal="center" vertical="top"/>
    </xf>
    <xf numFmtId="167" fontId="30" fillId="2" borderId="1" xfId="0" applyNumberFormat="1" applyFont="1" applyFill="1" applyBorder="1" applyAlignment="1">
      <alignment horizontal="center" vertical="top"/>
    </xf>
    <xf numFmtId="0" fontId="31" fillId="2" borderId="1" xfId="0" applyFont="1" applyFill="1" applyBorder="1" applyAlignment="1">
      <alignment horizontal="center" vertical="top"/>
    </xf>
    <xf numFmtId="1" fontId="31" fillId="2" borderId="1" xfId="0" applyNumberFormat="1" applyFont="1" applyFill="1" applyBorder="1" applyAlignment="1">
      <alignment horizontal="center" vertical="top"/>
    </xf>
    <xf numFmtId="1" fontId="31" fillId="2" borderId="1" xfId="0" applyNumberFormat="1" applyFont="1" applyFill="1" applyBorder="1" applyAlignment="1">
      <alignment horizontal="left" vertical="top" wrapText="1"/>
    </xf>
    <xf numFmtId="1" fontId="30" fillId="2" borderId="1" xfId="0" applyNumberFormat="1" applyFont="1" applyFill="1" applyBorder="1" applyAlignment="1">
      <alignment horizontal="center" vertical="top" wrapText="1"/>
    </xf>
    <xf numFmtId="4" fontId="29" fillId="2" borderId="1" xfId="1" applyNumberFormat="1" applyFont="1" applyFill="1" applyBorder="1" applyAlignment="1">
      <alignment horizontal="center" vertical="top" wrapText="1"/>
    </xf>
    <xf numFmtId="167" fontId="29" fillId="2" borderId="1" xfId="1" applyNumberFormat="1" applyFont="1" applyFill="1" applyBorder="1" applyAlignment="1">
      <alignment horizontal="center" vertical="top" wrapText="1"/>
    </xf>
    <xf numFmtId="1" fontId="29" fillId="2" borderId="1" xfId="1" applyNumberFormat="1" applyFont="1" applyFill="1" applyBorder="1" applyAlignment="1">
      <alignment horizontal="center" vertical="top" wrapText="1"/>
    </xf>
    <xf numFmtId="4" fontId="31" fillId="2" borderId="1" xfId="1" applyNumberFormat="1" applyFont="1" applyFill="1" applyBorder="1" applyAlignment="1">
      <alignment horizontal="center" vertical="top" wrapText="1"/>
    </xf>
    <xf numFmtId="167" fontId="31" fillId="2" borderId="1" xfId="1" applyNumberFormat="1" applyFont="1" applyFill="1" applyBorder="1" applyAlignment="1">
      <alignment horizontal="center" vertical="top" wrapText="1"/>
    </xf>
    <xf numFmtId="1" fontId="31" fillId="2" borderId="1" xfId="1" applyNumberFormat="1" applyFont="1" applyFill="1" applyBorder="1" applyAlignment="1">
      <alignment horizontal="center" vertical="top" wrapText="1"/>
    </xf>
    <xf numFmtId="164" fontId="29" fillId="2" borderId="1" xfId="1" applyNumberFormat="1" applyFont="1" applyFill="1" applyBorder="1" applyAlignment="1">
      <alignment horizontal="center" vertical="top" wrapText="1"/>
    </xf>
    <xf numFmtId="164" fontId="31" fillId="2" borderId="1" xfId="1" applyNumberFormat="1" applyFont="1" applyFill="1" applyBorder="1" applyAlignment="1">
      <alignment horizontal="center" vertical="top" wrapText="1"/>
    </xf>
    <xf numFmtId="4" fontId="30" fillId="2" borderId="1" xfId="1" applyNumberFormat="1" applyFont="1" applyFill="1" applyBorder="1" applyAlignment="1">
      <alignment horizontal="center" vertical="top" wrapText="1"/>
    </xf>
    <xf numFmtId="167" fontId="30" fillId="2" borderId="1" xfId="1" applyNumberFormat="1" applyFont="1" applyFill="1" applyBorder="1" applyAlignment="1">
      <alignment horizontal="center" vertical="top" wrapText="1"/>
    </xf>
    <xf numFmtId="4" fontId="31" fillId="2" borderId="1" xfId="1" applyNumberFormat="1" applyFont="1" applyFill="1" applyBorder="1" applyAlignment="1">
      <alignment horizontal="center" vertical="center" wrapText="1"/>
    </xf>
    <xf numFmtId="167" fontId="31" fillId="2" borderId="1" xfId="1" applyNumberFormat="1" applyFont="1" applyFill="1" applyBorder="1" applyAlignment="1">
      <alignment horizontal="center" vertical="center" wrapText="1"/>
    </xf>
    <xf numFmtId="4" fontId="29" fillId="2" borderId="1" xfId="1" applyNumberFormat="1" applyFont="1" applyFill="1" applyBorder="1" applyAlignment="1">
      <alignment horizontal="center" vertical="center" wrapText="1"/>
    </xf>
    <xf numFmtId="167" fontId="29" fillId="2" borderId="1" xfId="1" applyNumberFormat="1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center" vertical="center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top" wrapText="1"/>
    </xf>
    <xf numFmtId="0" fontId="31" fillId="2" borderId="1" xfId="0" applyFont="1" applyFill="1" applyBorder="1"/>
    <xf numFmtId="2" fontId="31" fillId="2" borderId="1" xfId="1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/>
    </xf>
    <xf numFmtId="4" fontId="30" fillId="2" borderId="1" xfId="1" applyNumberFormat="1" applyFont="1" applyFill="1" applyBorder="1" applyAlignment="1">
      <alignment horizontal="center" vertical="center" wrapText="1"/>
    </xf>
    <xf numFmtId="167" fontId="30" fillId="2" borderId="1" xfId="1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top" wrapText="1"/>
    </xf>
    <xf numFmtId="1" fontId="29" fillId="2" borderId="1" xfId="0" applyNumberFormat="1" applyFont="1" applyFill="1" applyBorder="1" applyAlignment="1">
      <alignment horizontal="left" vertical="top" wrapText="1"/>
    </xf>
    <xf numFmtId="2" fontId="31" fillId="2" borderId="1" xfId="0" applyNumberFormat="1" applyFont="1" applyFill="1" applyBorder="1" applyAlignment="1">
      <alignment horizontal="center" vertical="top" wrapText="1"/>
    </xf>
    <xf numFmtId="1" fontId="16" fillId="2" borderId="1" xfId="0" applyNumberFormat="1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 vertical="top"/>
    </xf>
    <xf numFmtId="1" fontId="22" fillId="2" borderId="1" xfId="0" applyNumberFormat="1" applyFont="1" applyFill="1" applyBorder="1" applyAlignment="1">
      <alignment horizontal="center" vertical="top"/>
    </xf>
    <xf numFmtId="166" fontId="29" fillId="2" borderId="1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left" vertical="top"/>
    </xf>
    <xf numFmtId="1" fontId="31" fillId="2" borderId="1" xfId="0" applyNumberFormat="1" applyFont="1" applyFill="1" applyBorder="1" applyAlignment="1">
      <alignment horizontal="right" vertical="top" wrapText="1"/>
    </xf>
    <xf numFmtId="1" fontId="16" fillId="2" borderId="1" xfId="0" applyNumberFormat="1" applyFont="1" applyFill="1" applyBorder="1" applyAlignment="1">
      <alignment vertical="top"/>
    </xf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top" wrapText="1"/>
    </xf>
    <xf numFmtId="0" fontId="30" fillId="2" borderId="1" xfId="0" applyFont="1" applyFill="1" applyBorder="1" applyAlignment="1">
      <alignment horizontal="center" vertical="top" wrapText="1"/>
    </xf>
    <xf numFmtId="0" fontId="3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vertical="top" wrapText="1"/>
    </xf>
    <xf numFmtId="4" fontId="29" fillId="2" borderId="1" xfId="0" applyNumberFormat="1" applyFont="1" applyFill="1" applyBorder="1" applyAlignment="1">
      <alignment horizontal="center" vertical="center" wrapText="1"/>
    </xf>
    <xf numFmtId="4" fontId="31" fillId="2" borderId="1" xfId="0" applyNumberFormat="1" applyFont="1" applyFill="1" applyBorder="1"/>
    <xf numFmtId="2" fontId="31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/>
    </xf>
    <xf numFmtId="0" fontId="31" fillId="2" borderId="1" xfId="0" applyFont="1" applyFill="1" applyBorder="1" applyAlignment="1">
      <alignment vertical="center"/>
    </xf>
    <xf numFmtId="2" fontId="31" fillId="2" borderId="1" xfId="0" applyNumberFormat="1" applyFont="1" applyFill="1" applyBorder="1" applyAlignment="1">
      <alignment vertical="center" wrapText="1"/>
    </xf>
    <xf numFmtId="166" fontId="29" fillId="2" borderId="1" xfId="0" applyNumberFormat="1" applyFont="1" applyFill="1" applyBorder="1" applyAlignment="1">
      <alignment horizontal="right" vertical="center" wrapText="1"/>
    </xf>
    <xf numFmtId="166" fontId="31" fillId="2" borderId="1" xfId="0" applyNumberFormat="1" applyFont="1" applyFill="1" applyBorder="1" applyAlignment="1">
      <alignment horizontal="right" vertical="center" wrapText="1"/>
    </xf>
    <xf numFmtId="166" fontId="31" fillId="2" borderId="1" xfId="0" applyNumberFormat="1" applyFont="1" applyFill="1" applyBorder="1" applyAlignment="1">
      <alignment horizontal="right" vertical="top" wrapText="1"/>
    </xf>
    <xf numFmtId="0" fontId="31" fillId="2" borderId="1" xfId="0" applyFont="1" applyFill="1" applyBorder="1" applyAlignment="1">
      <alignment vertical="top" wrapText="1"/>
    </xf>
    <xf numFmtId="0" fontId="31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166" fontId="29" fillId="2" borderId="1" xfId="0" applyNumberFormat="1" applyFont="1" applyFill="1" applyBorder="1" applyAlignment="1">
      <alignment horizontal="center" vertical="center" wrapText="1"/>
    </xf>
    <xf numFmtId="166" fontId="16" fillId="2" borderId="1" xfId="0" applyNumberFormat="1" applyFont="1" applyFill="1" applyBorder="1"/>
    <xf numFmtId="0" fontId="16" fillId="2" borderId="1" xfId="0" applyFont="1" applyFill="1" applyBorder="1"/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40" fillId="2" borderId="1" xfId="0" applyFont="1" applyFill="1" applyBorder="1" applyAlignment="1">
      <alignment vertical="top" wrapText="1"/>
    </xf>
    <xf numFmtId="0" fontId="16" fillId="3" borderId="0" xfId="0" applyFont="1" applyFill="1"/>
    <xf numFmtId="0" fontId="22" fillId="3" borderId="0" xfId="0" applyFont="1" applyFill="1"/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40" fillId="2" borderId="1" xfId="0" applyFont="1" applyFill="1" applyBorder="1" applyAlignment="1">
      <alignment horizontal="left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justify" vertical="center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167" fontId="29" fillId="2" borderId="1" xfId="0" applyNumberFormat="1" applyFont="1" applyFill="1" applyBorder="1" applyAlignment="1">
      <alignment horizontal="left" vertical="top" wrapText="1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0" fontId="29" fillId="2" borderId="4" xfId="0" applyFont="1" applyFill="1" applyBorder="1" applyAlignment="1">
      <alignment horizontal="center" vertical="top" wrapText="1"/>
    </xf>
    <xf numFmtId="0" fontId="41" fillId="2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horizontal="center" vertical="top" wrapText="1"/>
    </xf>
    <xf numFmtId="4" fontId="29" fillId="0" borderId="1" xfId="0" applyNumberFormat="1" applyFont="1" applyFill="1" applyBorder="1" applyAlignment="1">
      <alignment horizontal="center" vertical="top" wrapText="1"/>
    </xf>
    <xf numFmtId="0" fontId="22" fillId="0" borderId="0" xfId="0" applyFont="1" applyFill="1"/>
    <xf numFmtId="1" fontId="29" fillId="0" borderId="1" xfId="0" applyNumberFormat="1" applyFont="1" applyFill="1" applyBorder="1" applyAlignment="1">
      <alignment horizontal="center" vertical="top" wrapText="1"/>
    </xf>
    <xf numFmtId="0" fontId="41" fillId="0" borderId="1" xfId="0" applyFont="1" applyFill="1" applyBorder="1" applyAlignment="1">
      <alignment horizontal="left" vertical="top" wrapText="1"/>
    </xf>
    <xf numFmtId="164" fontId="29" fillId="2" borderId="1" xfId="1" applyNumberFormat="1" applyFont="1" applyFill="1" applyBorder="1" applyAlignment="1">
      <alignment horizontal="left" vertical="top" wrapText="1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16" fillId="0" borderId="0" xfId="0" applyFont="1" applyFill="1"/>
    <xf numFmtId="0" fontId="31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166" fontId="29" fillId="0" borderId="1" xfId="0" applyNumberFormat="1" applyFont="1" applyFill="1" applyBorder="1" applyAlignment="1">
      <alignment horizontal="center" vertical="top" wrapText="1"/>
    </xf>
    <xf numFmtId="166" fontId="30" fillId="0" borderId="1" xfId="0" applyNumberFormat="1" applyFont="1" applyFill="1" applyBorder="1" applyAlignment="1">
      <alignment horizontal="center" vertical="top" wrapText="1"/>
    </xf>
    <xf numFmtId="4" fontId="29" fillId="0" borderId="1" xfId="0" applyNumberFormat="1" applyFont="1" applyFill="1" applyBorder="1" applyAlignment="1">
      <alignment horizontal="center" vertical="top"/>
    </xf>
    <xf numFmtId="0" fontId="29" fillId="2" borderId="1" xfId="0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164" fontId="29" fillId="0" borderId="1" xfId="1" applyNumberFormat="1" applyFont="1" applyFill="1" applyBorder="1" applyAlignment="1">
      <alignment horizontal="center" vertical="top" wrapText="1"/>
    </xf>
    <xf numFmtId="4" fontId="29" fillId="0" borderId="1" xfId="1" applyNumberFormat="1" applyFont="1" applyFill="1" applyBorder="1" applyAlignment="1">
      <alignment horizontal="center" vertical="top" wrapText="1"/>
    </xf>
    <xf numFmtId="167" fontId="29" fillId="0" borderId="1" xfId="1" applyNumberFormat="1" applyFont="1" applyFill="1" applyBorder="1" applyAlignment="1">
      <alignment horizontal="center" vertical="top" wrapText="1"/>
    </xf>
    <xf numFmtId="1" fontId="29" fillId="0" borderId="1" xfId="1" applyNumberFormat="1" applyFont="1" applyFill="1" applyBorder="1" applyAlignment="1">
      <alignment horizontal="center" vertical="top" wrapText="1"/>
    </xf>
    <xf numFmtId="4" fontId="16" fillId="2" borderId="1" xfId="0" applyNumberFormat="1" applyFont="1" applyFill="1" applyBorder="1" applyAlignment="1">
      <alignment horizontal="center" vertical="top"/>
    </xf>
    <xf numFmtId="0" fontId="29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left" vertical="top"/>
    </xf>
    <xf numFmtId="0" fontId="16" fillId="2" borderId="0" xfId="0" applyFont="1" applyFill="1" applyBorder="1" applyAlignment="1">
      <alignment horizontal="center" vertical="top"/>
    </xf>
    <xf numFmtId="1" fontId="16" fillId="2" borderId="0" xfId="0" applyNumberFormat="1" applyFont="1" applyFill="1" applyBorder="1" applyAlignment="1">
      <alignment vertical="top"/>
    </xf>
    <xf numFmtId="0" fontId="29" fillId="2" borderId="0" xfId="0" applyFont="1" applyFill="1" applyBorder="1" applyAlignment="1">
      <alignment horizontal="left" vertical="top"/>
    </xf>
    <xf numFmtId="1" fontId="30" fillId="2" borderId="0" xfId="0" applyNumberFormat="1" applyFont="1" applyFill="1" applyBorder="1" applyAlignment="1">
      <alignment vertical="top"/>
    </xf>
    <xf numFmtId="0" fontId="30" fillId="2" borderId="0" xfId="0" applyFont="1" applyFill="1" applyBorder="1" applyAlignment="1">
      <alignment vertical="top"/>
    </xf>
    <xf numFmtId="2" fontId="2" fillId="0" borderId="0" xfId="0" applyNumberFormat="1" applyFont="1" applyAlignment="1">
      <alignment vertical="top" wrapText="1"/>
    </xf>
    <xf numFmtId="2" fontId="2" fillId="0" borderId="0" xfId="0" applyNumberFormat="1" applyFont="1" applyAlignment="1">
      <alignment horizontal="center" vertical="center" wrapText="1"/>
    </xf>
    <xf numFmtId="4" fontId="31" fillId="0" borderId="1" xfId="0" applyNumberFormat="1" applyFont="1" applyFill="1" applyBorder="1" applyAlignment="1">
      <alignment horizontal="center" vertical="top" wrapText="1"/>
    </xf>
    <xf numFmtId="4" fontId="3" fillId="0" borderId="0" xfId="0" applyNumberFormat="1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29" fillId="2" borderId="4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left" vertical="top" wrapText="1"/>
    </xf>
    <xf numFmtId="4" fontId="7" fillId="0" borderId="0" xfId="0" applyNumberFormat="1" applyFont="1"/>
    <xf numFmtId="4" fontId="31" fillId="0" borderId="1" xfId="1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justify" vertical="center"/>
    </xf>
    <xf numFmtId="0" fontId="30" fillId="0" borderId="0" xfId="0" applyFont="1" applyAlignment="1">
      <alignment vertical="top" wrapText="1"/>
    </xf>
    <xf numFmtId="0" fontId="29" fillId="2" borderId="0" xfId="0" applyFont="1" applyFill="1" applyBorder="1" applyAlignment="1">
      <alignment vertical="top"/>
    </xf>
    <xf numFmtId="0" fontId="30" fillId="2" borderId="0" xfId="0" applyFont="1" applyFill="1" applyBorder="1" applyAlignment="1">
      <alignment horizontal="right" vertical="top"/>
    </xf>
    <xf numFmtId="4" fontId="22" fillId="2" borderId="0" xfId="0" applyNumberFormat="1" applyFont="1" applyFill="1"/>
    <xf numFmtId="0" fontId="5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19" fillId="2" borderId="0" xfId="0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/>
    </xf>
    <xf numFmtId="0" fontId="20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9" fillId="2" borderId="2" xfId="0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horizontal="center" vertical="top" wrapText="1"/>
    </xf>
    <xf numFmtId="1" fontId="10" fillId="2" borderId="1" xfId="0" applyNumberFormat="1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left" vertical="top" wrapText="1"/>
    </xf>
    <xf numFmtId="1" fontId="30" fillId="2" borderId="0" xfId="0" applyNumberFormat="1" applyFont="1" applyFill="1" applyBorder="1" applyAlignment="1">
      <alignment horizontal="right" vertical="top" wrapText="1"/>
    </xf>
    <xf numFmtId="0" fontId="30" fillId="2" borderId="4" xfId="0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6" xfId="0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horizontal="center" vertical="top" wrapText="1"/>
    </xf>
    <xf numFmtId="0" fontId="29" fillId="2" borderId="4" xfId="0" applyFont="1" applyFill="1" applyBorder="1" applyAlignment="1">
      <alignment horizontal="center" vertical="top" wrapText="1"/>
    </xf>
    <xf numFmtId="0" fontId="29" fillId="2" borderId="5" xfId="0" applyFont="1" applyFill="1" applyBorder="1" applyAlignment="1">
      <alignment horizontal="center" vertical="top" wrapText="1"/>
    </xf>
    <xf numFmtId="0" fontId="29" fillId="2" borderId="6" xfId="0" applyFont="1" applyFill="1" applyBorder="1" applyAlignment="1">
      <alignment horizontal="center" vertical="top" wrapText="1"/>
    </xf>
    <xf numFmtId="0" fontId="30" fillId="2" borderId="3" xfId="0" applyFont="1" applyFill="1" applyBorder="1" applyAlignment="1">
      <alignment horizontal="center" vertical="center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8"/>
  <sheetViews>
    <sheetView topLeftCell="A76" zoomScale="110" zoomScaleNormal="110" workbookViewId="0">
      <selection activeCell="F487" sqref="F487"/>
    </sheetView>
  </sheetViews>
  <sheetFormatPr defaultRowHeight="15.75" x14ac:dyDescent="0.25"/>
  <cols>
    <col min="1" max="1" width="5.42578125" style="1" customWidth="1"/>
    <col min="2" max="2" width="46.85546875" style="2" customWidth="1"/>
    <col min="3" max="3" width="22.140625" style="3" customWidth="1"/>
    <col min="4" max="4" width="12.85546875" style="3" customWidth="1"/>
    <col min="5" max="5" width="18" style="3" customWidth="1"/>
    <col min="6" max="6" width="16.140625" style="3" customWidth="1"/>
    <col min="7" max="7" width="9.28515625" style="3" customWidth="1"/>
    <col min="8" max="8" width="16.7109375" style="4" customWidth="1"/>
    <col min="9" max="9" width="32.28515625" customWidth="1"/>
    <col min="10" max="10" width="24.5703125" customWidth="1"/>
    <col min="11" max="11" width="21.5703125" customWidth="1"/>
    <col min="12" max="12" width="24.28515625" customWidth="1"/>
  </cols>
  <sheetData>
    <row r="1" spans="1:11" x14ac:dyDescent="0.25">
      <c r="K1" s="5" t="s">
        <v>0</v>
      </c>
    </row>
    <row r="2" spans="1:11" ht="91.5" customHeight="1" x14ac:dyDescent="0.25">
      <c r="B2" s="6"/>
      <c r="F2" s="7"/>
      <c r="G2" s="7"/>
      <c r="H2" s="8"/>
      <c r="I2" s="9"/>
      <c r="J2" s="543" t="s">
        <v>325</v>
      </c>
      <c r="K2" s="544"/>
    </row>
    <row r="3" spans="1:11" ht="41.25" customHeight="1" x14ac:dyDescent="0.25">
      <c r="A3" s="545" t="s">
        <v>10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</row>
    <row r="4" spans="1:11" ht="9" customHeight="1" x14ac:dyDescent="0.25">
      <c r="A4" s="10"/>
      <c r="B4" s="11"/>
      <c r="C4" s="12"/>
      <c r="D4" s="12"/>
      <c r="E4" s="12"/>
      <c r="F4" s="12"/>
      <c r="G4" s="12"/>
      <c r="H4" s="13"/>
      <c r="I4" s="14"/>
      <c r="J4" s="14"/>
      <c r="K4" s="14"/>
    </row>
    <row r="5" spans="1:11" ht="66" customHeight="1" x14ac:dyDescent="0.25">
      <c r="A5" s="546" t="s">
        <v>2</v>
      </c>
      <c r="B5" s="547" t="s">
        <v>1</v>
      </c>
      <c r="C5" s="546" t="s">
        <v>3</v>
      </c>
      <c r="D5" s="546" t="s">
        <v>4</v>
      </c>
      <c r="E5" s="546" t="s">
        <v>326</v>
      </c>
      <c r="F5" s="546"/>
      <c r="G5" s="546"/>
      <c r="H5" s="549" t="s">
        <v>8</v>
      </c>
      <c r="I5" s="546" t="s">
        <v>9</v>
      </c>
      <c r="J5" s="546" t="s">
        <v>327</v>
      </c>
      <c r="K5" s="546" t="s">
        <v>328</v>
      </c>
    </row>
    <row r="6" spans="1:11" ht="33" customHeight="1" x14ac:dyDescent="0.25">
      <c r="A6" s="546"/>
      <c r="B6" s="548"/>
      <c r="C6" s="546"/>
      <c r="D6" s="546"/>
      <c r="E6" s="15" t="s">
        <v>5</v>
      </c>
      <c r="F6" s="15" t="s">
        <v>6</v>
      </c>
      <c r="G6" s="15" t="s">
        <v>7</v>
      </c>
      <c r="H6" s="549"/>
      <c r="I6" s="546"/>
      <c r="J6" s="546"/>
      <c r="K6" s="546"/>
    </row>
    <row r="7" spans="1:11" ht="26.25" customHeight="1" x14ac:dyDescent="0.25">
      <c r="A7" s="542" t="s">
        <v>329</v>
      </c>
      <c r="B7" s="542"/>
      <c r="C7" s="542"/>
      <c r="D7" s="542"/>
      <c r="E7" s="542"/>
      <c r="F7" s="542"/>
      <c r="G7" s="542"/>
      <c r="H7" s="542"/>
      <c r="I7" s="542"/>
      <c r="J7" s="542"/>
      <c r="K7" s="542"/>
    </row>
    <row r="8" spans="1:11" ht="21.75" customHeight="1" x14ac:dyDescent="0.25">
      <c r="A8" s="541" t="s">
        <v>11</v>
      </c>
      <c r="B8" s="541"/>
      <c r="C8" s="541"/>
      <c r="D8" s="541"/>
      <c r="E8" s="541"/>
      <c r="F8" s="541"/>
      <c r="G8" s="541"/>
      <c r="H8" s="541"/>
      <c r="I8" s="541"/>
      <c r="J8" s="541"/>
      <c r="K8" s="541"/>
    </row>
    <row r="9" spans="1:11" ht="66" customHeight="1" x14ac:dyDescent="0.25">
      <c r="A9" s="17">
        <v>1</v>
      </c>
      <c r="B9" s="18" t="s">
        <v>270</v>
      </c>
      <c r="C9" s="17" t="s">
        <v>140</v>
      </c>
      <c r="D9" s="19" t="s">
        <v>16</v>
      </c>
      <c r="E9" s="20">
        <f>E10+E11</f>
        <v>6248000</v>
      </c>
      <c r="F9" s="20">
        <f>F10+F11</f>
        <v>15139482.199999999</v>
      </c>
      <c r="G9" s="20">
        <f t="shared" ref="G9:G19" si="0">F9/E9*100</f>
        <v>242.30925416133161</v>
      </c>
      <c r="H9" s="21">
        <v>201</v>
      </c>
      <c r="I9" s="22"/>
      <c r="J9" s="23" t="s">
        <v>330</v>
      </c>
      <c r="K9" s="22"/>
    </row>
    <row r="10" spans="1:11" ht="21.75" customHeight="1" x14ac:dyDescent="0.25">
      <c r="A10" s="17"/>
      <c r="B10" s="24" t="s">
        <v>13</v>
      </c>
      <c r="C10" s="22"/>
      <c r="D10" s="22"/>
      <c r="E10" s="20">
        <v>5990000</v>
      </c>
      <c r="F10" s="20">
        <v>5990000</v>
      </c>
      <c r="G10" s="20">
        <f t="shared" si="0"/>
        <v>100</v>
      </c>
      <c r="H10" s="25"/>
      <c r="I10" s="22"/>
      <c r="J10" s="22"/>
      <c r="K10" s="22"/>
    </row>
    <row r="11" spans="1:11" ht="18.75" customHeight="1" x14ac:dyDescent="0.25">
      <c r="A11" s="17"/>
      <c r="B11" s="26" t="s">
        <v>19</v>
      </c>
      <c r="C11" s="22"/>
      <c r="D11" s="22"/>
      <c r="E11" s="20">
        <v>258000</v>
      </c>
      <c r="F11" s="20">
        <v>9149482.1999999993</v>
      </c>
      <c r="G11" s="20"/>
      <c r="H11" s="25"/>
      <c r="I11" s="22"/>
      <c r="J11" s="22"/>
      <c r="K11" s="22"/>
    </row>
    <row r="12" spans="1:11" ht="132.75" customHeight="1" x14ac:dyDescent="0.25">
      <c r="A12" s="17">
        <v>2</v>
      </c>
      <c r="B12" s="18" t="s">
        <v>269</v>
      </c>
      <c r="C12" s="17" t="s">
        <v>141</v>
      </c>
      <c r="D12" s="19" t="s">
        <v>16</v>
      </c>
      <c r="E12" s="20">
        <f>E13+E14</f>
        <v>1468100</v>
      </c>
      <c r="F12" s="20">
        <f>F13+F14</f>
        <v>1015092.4</v>
      </c>
      <c r="G12" s="20">
        <f t="shared" si="0"/>
        <v>69.143273618963292</v>
      </c>
      <c r="H12" s="27">
        <v>70</v>
      </c>
      <c r="I12" s="18" t="s">
        <v>331</v>
      </c>
      <c r="J12" s="23" t="s">
        <v>330</v>
      </c>
      <c r="K12" s="18" t="s">
        <v>332</v>
      </c>
    </row>
    <row r="13" spans="1:11" ht="17.25" customHeight="1" x14ac:dyDescent="0.25">
      <c r="A13" s="17"/>
      <c r="B13" s="24" t="s">
        <v>13</v>
      </c>
      <c r="C13" s="22"/>
      <c r="D13" s="22"/>
      <c r="E13" s="20">
        <v>970000</v>
      </c>
      <c r="F13" s="20">
        <v>860000</v>
      </c>
      <c r="G13" s="20">
        <f t="shared" si="0"/>
        <v>88.659793814432987</v>
      </c>
      <c r="H13" s="25"/>
      <c r="I13" s="22"/>
      <c r="J13" s="22"/>
      <c r="K13" s="22"/>
    </row>
    <row r="14" spans="1:11" ht="17.25" customHeight="1" x14ac:dyDescent="0.25">
      <c r="A14" s="17"/>
      <c r="B14" s="26" t="s">
        <v>19</v>
      </c>
      <c r="C14" s="22"/>
      <c r="D14" s="22"/>
      <c r="E14" s="20">
        <v>498100</v>
      </c>
      <c r="F14" s="20">
        <v>155092.4</v>
      </c>
      <c r="G14" s="20">
        <f t="shared" si="0"/>
        <v>31.136799839389678</v>
      </c>
      <c r="H14" s="25"/>
      <c r="I14" s="22"/>
      <c r="J14" s="22"/>
      <c r="K14" s="22"/>
    </row>
    <row r="15" spans="1:11" ht="72" customHeight="1" x14ac:dyDescent="0.25">
      <c r="A15" s="17">
        <v>3</v>
      </c>
      <c r="B15" s="18" t="s">
        <v>268</v>
      </c>
      <c r="C15" s="17" t="s">
        <v>140</v>
      </c>
      <c r="D15" s="19" t="s">
        <v>16</v>
      </c>
      <c r="E15" s="20">
        <f>E16+E17</f>
        <v>2090000</v>
      </c>
      <c r="F15" s="20">
        <f>F16+F17</f>
        <v>534730.4</v>
      </c>
      <c r="G15" s="20">
        <f t="shared" si="0"/>
        <v>25.585186602870813</v>
      </c>
      <c r="H15" s="21">
        <v>300</v>
      </c>
      <c r="I15" s="22"/>
      <c r="J15" s="23" t="s">
        <v>330</v>
      </c>
      <c r="K15" s="22"/>
    </row>
    <row r="16" spans="1:11" ht="18" customHeight="1" x14ac:dyDescent="0.25">
      <c r="A16" s="17"/>
      <c r="B16" s="24" t="s">
        <v>13</v>
      </c>
      <c r="C16" s="22"/>
      <c r="D16" s="22"/>
      <c r="E16" s="20">
        <v>390000</v>
      </c>
      <c r="F16" s="20">
        <v>390000</v>
      </c>
      <c r="G16" s="20">
        <f t="shared" si="0"/>
        <v>100</v>
      </c>
      <c r="H16" s="25"/>
      <c r="I16" s="22"/>
      <c r="J16" s="22"/>
      <c r="K16" s="22"/>
    </row>
    <row r="17" spans="1:11" ht="16.5" customHeight="1" x14ac:dyDescent="0.25">
      <c r="A17" s="17"/>
      <c r="B17" s="26" t="s">
        <v>19</v>
      </c>
      <c r="C17" s="22"/>
      <c r="D17" s="22"/>
      <c r="E17" s="20">
        <v>1700000</v>
      </c>
      <c r="F17" s="20">
        <v>144730.4</v>
      </c>
      <c r="G17" s="20">
        <f t="shared" si="0"/>
        <v>8.5135529411764708</v>
      </c>
      <c r="H17" s="25"/>
      <c r="I17" s="22"/>
      <c r="J17" s="22"/>
      <c r="K17" s="22"/>
    </row>
    <row r="18" spans="1:11" ht="18.75" customHeight="1" x14ac:dyDescent="0.25">
      <c r="A18" s="17"/>
      <c r="B18" s="28" t="s">
        <v>54</v>
      </c>
      <c r="C18" s="22"/>
      <c r="D18" s="22"/>
      <c r="E18" s="29">
        <f>E19+E20</f>
        <v>9806100</v>
      </c>
      <c r="F18" s="29">
        <f>F19+F20</f>
        <v>16689305</v>
      </c>
      <c r="G18" s="29">
        <f t="shared" si="0"/>
        <v>170.19309409449221</v>
      </c>
      <c r="H18" s="25"/>
      <c r="I18" s="22"/>
      <c r="J18" s="22"/>
      <c r="K18" s="22"/>
    </row>
    <row r="19" spans="1:11" ht="20.25" customHeight="1" x14ac:dyDescent="0.25">
      <c r="A19" s="17"/>
      <c r="B19" s="24" t="s">
        <v>13</v>
      </c>
      <c r="C19" s="22"/>
      <c r="D19" s="22"/>
      <c r="E19" s="20">
        <f>E16+E13+E10</f>
        <v>7350000</v>
      </c>
      <c r="F19" s="20">
        <f>F16+F13+F10</f>
        <v>7240000</v>
      </c>
      <c r="G19" s="20">
        <f t="shared" si="0"/>
        <v>98.503401360544217</v>
      </c>
      <c r="H19" s="25"/>
      <c r="I19" s="22"/>
      <c r="J19" s="22"/>
      <c r="K19" s="22"/>
    </row>
    <row r="20" spans="1:11" ht="18" customHeight="1" x14ac:dyDescent="0.25">
      <c r="A20" s="17"/>
      <c r="B20" s="26" t="s">
        <v>19</v>
      </c>
      <c r="C20" s="22"/>
      <c r="D20" s="22"/>
      <c r="E20" s="20">
        <f>E17+E14+E11</f>
        <v>2456100</v>
      </c>
      <c r="F20" s="20">
        <f>F17+F14+F11</f>
        <v>9449305</v>
      </c>
      <c r="G20" s="20">
        <f>F20/E20*100</f>
        <v>384.72802410325312</v>
      </c>
      <c r="H20" s="25"/>
      <c r="I20" s="22"/>
      <c r="J20" s="22"/>
      <c r="K20" s="22"/>
    </row>
    <row r="21" spans="1:11" ht="9" customHeight="1" x14ac:dyDescent="0.25">
      <c r="A21" s="17"/>
      <c r="B21" s="26"/>
      <c r="C21" s="22"/>
      <c r="D21" s="22"/>
      <c r="E21" s="30"/>
      <c r="F21" s="22"/>
      <c r="G21" s="22"/>
      <c r="H21" s="25"/>
      <c r="I21" s="22"/>
      <c r="J21" s="22"/>
      <c r="K21" s="22"/>
    </row>
    <row r="22" spans="1:11" ht="21.75" customHeight="1" x14ac:dyDescent="0.25">
      <c r="A22" s="541" t="s">
        <v>142</v>
      </c>
      <c r="B22" s="541"/>
      <c r="C22" s="541"/>
      <c r="D22" s="541"/>
      <c r="E22" s="541"/>
      <c r="F22" s="541"/>
      <c r="G22" s="541"/>
      <c r="H22" s="541"/>
      <c r="I22" s="541"/>
      <c r="J22" s="541"/>
      <c r="K22" s="541"/>
    </row>
    <row r="23" spans="1:11" ht="296.25" customHeight="1" x14ac:dyDescent="0.25">
      <c r="A23" s="17">
        <v>4</v>
      </c>
      <c r="B23" s="18" t="s">
        <v>333</v>
      </c>
      <c r="C23" s="17" t="s">
        <v>143</v>
      </c>
      <c r="D23" s="19" t="s">
        <v>16</v>
      </c>
      <c r="E23" s="20">
        <f>E24</f>
        <v>525000</v>
      </c>
      <c r="F23" s="20">
        <f>F24</f>
        <v>525000</v>
      </c>
      <c r="G23" s="20">
        <f t="shared" ref="G23:G28" si="1">F23/E23*100</f>
        <v>100</v>
      </c>
      <c r="H23" s="27">
        <v>100</v>
      </c>
      <c r="I23" s="22"/>
      <c r="J23" s="23" t="s">
        <v>330</v>
      </c>
      <c r="K23" s="22"/>
    </row>
    <row r="24" spans="1:11" ht="17.25" customHeight="1" x14ac:dyDescent="0.25">
      <c r="A24" s="17"/>
      <c r="B24" s="24" t="s">
        <v>13</v>
      </c>
      <c r="C24" s="22"/>
      <c r="D24" s="22"/>
      <c r="E24" s="20">
        <v>525000</v>
      </c>
      <c r="F24" s="20">
        <v>525000</v>
      </c>
      <c r="G24" s="20">
        <f t="shared" si="1"/>
        <v>100</v>
      </c>
      <c r="H24" s="27"/>
      <c r="I24" s="22"/>
      <c r="J24" s="22"/>
      <c r="K24" s="22"/>
    </row>
    <row r="25" spans="1:11" ht="231" customHeight="1" x14ac:dyDescent="0.25">
      <c r="A25" s="17">
        <v>5</v>
      </c>
      <c r="B25" s="18" t="s">
        <v>267</v>
      </c>
      <c r="C25" s="17" t="s">
        <v>143</v>
      </c>
      <c r="D25" s="19" t="s">
        <v>16</v>
      </c>
      <c r="E25" s="20">
        <f>E26</f>
        <v>910000</v>
      </c>
      <c r="F25" s="20">
        <f>F26</f>
        <v>567078.80000000005</v>
      </c>
      <c r="G25" s="20">
        <f t="shared" si="1"/>
        <v>62.316351648351656</v>
      </c>
      <c r="H25" s="27">
        <v>84.2</v>
      </c>
      <c r="I25" s="23" t="s">
        <v>334</v>
      </c>
      <c r="J25" s="23" t="s">
        <v>330</v>
      </c>
      <c r="K25" s="22"/>
    </row>
    <row r="26" spans="1:11" ht="18" customHeight="1" x14ac:dyDescent="0.25">
      <c r="A26" s="17"/>
      <c r="B26" s="24" t="s">
        <v>13</v>
      </c>
      <c r="C26" s="22"/>
      <c r="D26" s="22"/>
      <c r="E26" s="20">
        <v>910000</v>
      </c>
      <c r="F26" s="20">
        <v>567078.80000000005</v>
      </c>
      <c r="G26" s="20">
        <f t="shared" si="1"/>
        <v>62.316351648351656</v>
      </c>
      <c r="H26" s="25"/>
      <c r="I26" s="22"/>
      <c r="J26" s="22"/>
      <c r="K26" s="22"/>
    </row>
    <row r="27" spans="1:11" ht="163.5" customHeight="1" x14ac:dyDescent="0.25">
      <c r="A27" s="17">
        <v>6</v>
      </c>
      <c r="B27" s="18" t="s">
        <v>335</v>
      </c>
      <c r="C27" s="17" t="s">
        <v>143</v>
      </c>
      <c r="D27" s="19" t="s">
        <v>16</v>
      </c>
      <c r="E27" s="20">
        <f>E28</f>
        <v>2410000</v>
      </c>
      <c r="F27" s="20">
        <f>F28</f>
        <v>1815666.5</v>
      </c>
      <c r="G27" s="20">
        <f t="shared" si="1"/>
        <v>75.338858921161815</v>
      </c>
      <c r="H27" s="27">
        <v>83.2</v>
      </c>
      <c r="I27" s="22"/>
      <c r="J27" s="23" t="s">
        <v>330</v>
      </c>
      <c r="K27" s="22"/>
    </row>
    <row r="28" spans="1:11" ht="18" customHeight="1" x14ac:dyDescent="0.25">
      <c r="A28" s="17"/>
      <c r="B28" s="24" t="s">
        <v>13</v>
      </c>
      <c r="C28" s="22"/>
      <c r="D28" s="22"/>
      <c r="E28" s="20">
        <v>2410000</v>
      </c>
      <c r="F28" s="20">
        <v>1815666.5</v>
      </c>
      <c r="G28" s="20">
        <f t="shared" si="1"/>
        <v>75.338858921161815</v>
      </c>
      <c r="H28" s="25"/>
      <c r="I28" s="22"/>
      <c r="J28" s="22"/>
      <c r="K28" s="22"/>
    </row>
    <row r="29" spans="1:11" ht="18" customHeight="1" x14ac:dyDescent="0.25">
      <c r="A29" s="17"/>
      <c r="B29" s="26" t="s">
        <v>19</v>
      </c>
      <c r="C29" s="22"/>
      <c r="D29" s="22"/>
      <c r="E29" s="22"/>
      <c r="F29" s="22"/>
      <c r="G29" s="22"/>
      <c r="H29" s="25"/>
      <c r="I29" s="22"/>
      <c r="J29" s="22"/>
      <c r="K29" s="22"/>
    </row>
    <row r="30" spans="1:11" ht="168" customHeight="1" x14ac:dyDescent="0.25">
      <c r="A30" s="17">
        <v>7</v>
      </c>
      <c r="B30" s="18" t="s">
        <v>266</v>
      </c>
      <c r="C30" s="17" t="s">
        <v>143</v>
      </c>
      <c r="D30" s="20" t="s">
        <v>16</v>
      </c>
      <c r="E30" s="20">
        <f>E31</f>
        <v>450000</v>
      </c>
      <c r="F30" s="20">
        <f>F31</f>
        <v>450000</v>
      </c>
      <c r="G30" s="20">
        <f t="shared" ref="G30:G41" si="2">F30/E30*100</f>
        <v>100</v>
      </c>
      <c r="H30" s="27">
        <v>100</v>
      </c>
      <c r="I30" s="22"/>
      <c r="J30" s="23" t="s">
        <v>330</v>
      </c>
      <c r="K30" s="22"/>
    </row>
    <row r="31" spans="1:11" ht="18" customHeight="1" x14ac:dyDescent="0.25">
      <c r="A31" s="17"/>
      <c r="B31" s="24" t="s">
        <v>13</v>
      </c>
      <c r="C31" s="22"/>
      <c r="D31" s="22"/>
      <c r="E31" s="20">
        <v>450000</v>
      </c>
      <c r="F31" s="20">
        <v>450000</v>
      </c>
      <c r="G31" s="20">
        <f t="shared" si="2"/>
        <v>100</v>
      </c>
      <c r="H31" s="25"/>
      <c r="I31" s="22"/>
      <c r="J31" s="22"/>
      <c r="K31" s="22"/>
    </row>
    <row r="32" spans="1:11" ht="146.25" customHeight="1" x14ac:dyDescent="0.25">
      <c r="A32" s="17">
        <v>8</v>
      </c>
      <c r="B32" s="18" t="s">
        <v>265</v>
      </c>
      <c r="C32" s="17" t="s">
        <v>143</v>
      </c>
      <c r="D32" s="19" t="s">
        <v>16</v>
      </c>
      <c r="E32" s="20">
        <f>E33</f>
        <v>321950</v>
      </c>
      <c r="F32" s="20">
        <f>F33</f>
        <v>230000</v>
      </c>
      <c r="G32" s="20">
        <f t="shared" si="2"/>
        <v>71.439664544183884</v>
      </c>
      <c r="H32" s="27">
        <v>100</v>
      </c>
      <c r="I32" s="22"/>
      <c r="J32" s="23" t="s">
        <v>330</v>
      </c>
      <c r="K32" s="22"/>
    </row>
    <row r="33" spans="1:11" ht="19.5" customHeight="1" x14ac:dyDescent="0.25">
      <c r="A33" s="17"/>
      <c r="B33" s="24" t="s">
        <v>13</v>
      </c>
      <c r="C33" s="22"/>
      <c r="D33" s="22"/>
      <c r="E33" s="20">
        <v>321950</v>
      </c>
      <c r="F33" s="20">
        <v>230000</v>
      </c>
      <c r="G33" s="20">
        <f t="shared" si="2"/>
        <v>71.439664544183884</v>
      </c>
      <c r="H33" s="25"/>
      <c r="I33" s="22"/>
      <c r="J33" s="22"/>
      <c r="K33" s="22"/>
    </row>
    <row r="34" spans="1:11" ht="64.5" customHeight="1" x14ac:dyDescent="0.25">
      <c r="A34" s="17">
        <v>9</v>
      </c>
      <c r="B34" s="18" t="s">
        <v>264</v>
      </c>
      <c r="C34" s="17" t="s">
        <v>143</v>
      </c>
      <c r="D34" s="19" t="s">
        <v>16</v>
      </c>
      <c r="E34" s="20">
        <f>E35</f>
        <v>260000</v>
      </c>
      <c r="F34" s="20">
        <f>F35</f>
        <v>305107</v>
      </c>
      <c r="G34" s="20">
        <f t="shared" si="2"/>
        <v>117.34884615384615</v>
      </c>
      <c r="H34" s="27">
        <v>100</v>
      </c>
      <c r="I34" s="22"/>
      <c r="J34" s="23" t="s">
        <v>330</v>
      </c>
      <c r="K34" s="22"/>
    </row>
    <row r="35" spans="1:11" ht="18.75" customHeight="1" x14ac:dyDescent="0.25">
      <c r="A35" s="17"/>
      <c r="B35" s="26" t="s">
        <v>19</v>
      </c>
      <c r="C35" s="22"/>
      <c r="D35" s="22"/>
      <c r="E35" s="20">
        <v>260000</v>
      </c>
      <c r="F35" s="20">
        <v>305107</v>
      </c>
      <c r="G35" s="20">
        <f t="shared" si="2"/>
        <v>117.34884615384615</v>
      </c>
      <c r="H35" s="25"/>
      <c r="I35" s="22"/>
      <c r="J35" s="22"/>
      <c r="K35" s="22"/>
    </row>
    <row r="36" spans="1:11" ht="18.75" customHeight="1" x14ac:dyDescent="0.25">
      <c r="A36" s="17"/>
      <c r="B36" s="28" t="s">
        <v>54</v>
      </c>
      <c r="C36" s="22"/>
      <c r="D36" s="22"/>
      <c r="E36" s="29">
        <f>E37+E38</f>
        <v>4876950</v>
      </c>
      <c r="F36" s="29">
        <f>F37+F38</f>
        <v>3892852.3</v>
      </c>
      <c r="G36" s="20">
        <f t="shared" si="2"/>
        <v>79.821451932047694</v>
      </c>
      <c r="H36" s="25"/>
      <c r="I36" s="22"/>
      <c r="J36" s="22"/>
      <c r="K36" s="22"/>
    </row>
    <row r="37" spans="1:11" ht="18.75" customHeight="1" x14ac:dyDescent="0.25">
      <c r="A37" s="17"/>
      <c r="B37" s="24" t="s">
        <v>13</v>
      </c>
      <c r="C37" s="22"/>
      <c r="D37" s="22"/>
      <c r="E37" s="20">
        <f>E33+E31+E28+E26+E24</f>
        <v>4616950</v>
      </c>
      <c r="F37" s="20">
        <f>F33+F31+F28+F26+F24</f>
        <v>3587745.3</v>
      </c>
      <c r="G37" s="20">
        <f t="shared" si="2"/>
        <v>77.708125494103243</v>
      </c>
      <c r="H37" s="25"/>
      <c r="I37" s="22"/>
      <c r="J37" s="22"/>
      <c r="K37" s="22"/>
    </row>
    <row r="38" spans="1:11" ht="23.25" customHeight="1" x14ac:dyDescent="0.25">
      <c r="A38" s="17"/>
      <c r="B38" s="26" t="s">
        <v>19</v>
      </c>
      <c r="C38" s="22"/>
      <c r="D38" s="22"/>
      <c r="E38" s="20">
        <f>E35</f>
        <v>260000</v>
      </c>
      <c r="F38" s="20">
        <f>F35</f>
        <v>305107</v>
      </c>
      <c r="G38" s="20">
        <f t="shared" si="2"/>
        <v>117.34884615384615</v>
      </c>
      <c r="H38" s="25"/>
      <c r="I38" s="22"/>
      <c r="J38" s="22"/>
      <c r="K38" s="22"/>
    </row>
    <row r="39" spans="1:11" ht="22.5" customHeight="1" x14ac:dyDescent="0.25">
      <c r="A39" s="17"/>
      <c r="B39" s="31" t="s">
        <v>73</v>
      </c>
      <c r="C39" s="22"/>
      <c r="D39" s="22"/>
      <c r="E39" s="29">
        <f>E40+E41</f>
        <v>14683050</v>
      </c>
      <c r="F39" s="29">
        <f>F40+F41</f>
        <v>20582157.300000001</v>
      </c>
      <c r="G39" s="29">
        <f t="shared" si="2"/>
        <v>140.17630737483015</v>
      </c>
      <c r="H39" s="25"/>
      <c r="I39" s="22"/>
      <c r="J39" s="22"/>
      <c r="K39" s="22"/>
    </row>
    <row r="40" spans="1:11" ht="18.75" customHeight="1" x14ac:dyDescent="0.25">
      <c r="A40" s="17"/>
      <c r="B40" s="32" t="s">
        <v>13</v>
      </c>
      <c r="C40" s="22"/>
      <c r="D40" s="22"/>
      <c r="E40" s="20">
        <f>E37+E19</f>
        <v>11966950</v>
      </c>
      <c r="F40" s="20">
        <f>F37+F19</f>
        <v>10827745.300000001</v>
      </c>
      <c r="G40" s="20">
        <f t="shared" si="2"/>
        <v>90.480408959676453</v>
      </c>
      <c r="H40" s="25"/>
      <c r="I40" s="22"/>
      <c r="J40" s="22"/>
      <c r="K40" s="22"/>
    </row>
    <row r="41" spans="1:11" ht="16.5" x14ac:dyDescent="0.25">
      <c r="A41" s="17"/>
      <c r="B41" s="32" t="s">
        <v>144</v>
      </c>
      <c r="C41" s="17"/>
      <c r="D41" s="17"/>
      <c r="E41" s="20">
        <f>E20+E38</f>
        <v>2716100</v>
      </c>
      <c r="F41" s="20">
        <f>F20+F38</f>
        <v>9754412</v>
      </c>
      <c r="G41" s="20">
        <f t="shared" si="2"/>
        <v>359.13302161186994</v>
      </c>
      <c r="H41" s="27"/>
      <c r="I41" s="20"/>
      <c r="J41" s="17"/>
      <c r="K41" s="17"/>
    </row>
    <row r="42" spans="1:11" ht="16.5" x14ac:dyDescent="0.25">
      <c r="A42" s="17"/>
      <c r="B42" s="32"/>
      <c r="C42" s="17"/>
      <c r="D42" s="17"/>
      <c r="E42" s="17"/>
      <c r="F42" s="17"/>
      <c r="G42" s="17"/>
      <c r="H42" s="27"/>
      <c r="I42" s="17"/>
      <c r="J42" s="17"/>
      <c r="K42" s="17"/>
    </row>
    <row r="43" spans="1:11" ht="33.75" customHeight="1" x14ac:dyDescent="0.25">
      <c r="A43" s="542" t="s">
        <v>336</v>
      </c>
      <c r="B43" s="542"/>
      <c r="C43" s="542"/>
      <c r="D43" s="542"/>
      <c r="E43" s="542"/>
      <c r="F43" s="542"/>
      <c r="G43" s="542"/>
      <c r="H43" s="542"/>
      <c r="I43" s="542"/>
      <c r="J43" s="542"/>
      <c r="K43" s="542"/>
    </row>
    <row r="44" spans="1:11" ht="33.75" customHeight="1" x14ac:dyDescent="0.25">
      <c r="A44" s="541" t="s">
        <v>60</v>
      </c>
      <c r="B44" s="541"/>
      <c r="C44" s="541"/>
      <c r="D44" s="541"/>
      <c r="E44" s="541"/>
      <c r="F44" s="541"/>
      <c r="G44" s="541"/>
      <c r="H44" s="541"/>
      <c r="I44" s="541"/>
      <c r="J44" s="541"/>
      <c r="K44" s="541"/>
    </row>
    <row r="45" spans="1:11" ht="63.75" customHeight="1" x14ac:dyDescent="0.25">
      <c r="A45" s="17">
        <v>10</v>
      </c>
      <c r="B45" s="18" t="s">
        <v>61</v>
      </c>
      <c r="C45" s="17" t="s">
        <v>14</v>
      </c>
      <c r="D45" s="19" t="s">
        <v>16</v>
      </c>
      <c r="E45" s="20">
        <v>89900</v>
      </c>
      <c r="F45" s="17">
        <v>88508.75</v>
      </c>
      <c r="G45" s="20">
        <f t="shared" ref="G45:G50" si="3">F45/E45*100</f>
        <v>98.452447163515018</v>
      </c>
      <c r="H45" s="27">
        <v>100</v>
      </c>
      <c r="I45" s="17"/>
      <c r="J45" s="23" t="s">
        <v>330</v>
      </c>
      <c r="K45" s="17"/>
    </row>
    <row r="46" spans="1:11" ht="23.25" customHeight="1" x14ac:dyDescent="0.25">
      <c r="A46" s="17"/>
      <c r="B46" s="24" t="s">
        <v>13</v>
      </c>
      <c r="C46" s="17"/>
      <c r="D46" s="17"/>
      <c r="E46" s="20">
        <v>89900</v>
      </c>
      <c r="F46" s="17">
        <v>88508.76</v>
      </c>
      <c r="G46" s="20">
        <f t="shared" si="3"/>
        <v>98.452458286985532</v>
      </c>
      <c r="H46" s="27"/>
      <c r="I46" s="17"/>
      <c r="J46" s="17"/>
      <c r="K46" s="17"/>
    </row>
    <row r="47" spans="1:11" ht="66" customHeight="1" x14ac:dyDescent="0.25">
      <c r="A47" s="17">
        <v>11</v>
      </c>
      <c r="B47" s="18" t="s">
        <v>63</v>
      </c>
      <c r="C47" s="17" t="s">
        <v>14</v>
      </c>
      <c r="D47" s="19" t="s">
        <v>16</v>
      </c>
      <c r="E47" s="30">
        <v>450000</v>
      </c>
      <c r="F47" s="30">
        <v>251596.38</v>
      </c>
      <c r="G47" s="20">
        <f t="shared" si="3"/>
        <v>55.910306666666663</v>
      </c>
      <c r="H47" s="27">
        <v>56</v>
      </c>
      <c r="I47" s="17" t="s">
        <v>337</v>
      </c>
      <c r="J47" s="23" t="s">
        <v>330</v>
      </c>
      <c r="K47" s="18" t="s">
        <v>338</v>
      </c>
    </row>
    <row r="48" spans="1:11" ht="27" customHeight="1" x14ac:dyDescent="0.25">
      <c r="A48" s="17"/>
      <c r="B48" s="24" t="s">
        <v>13</v>
      </c>
      <c r="C48" s="17"/>
      <c r="D48" s="17"/>
      <c r="E48" s="30">
        <v>450000</v>
      </c>
      <c r="F48" s="30">
        <v>251596.38</v>
      </c>
      <c r="G48" s="20">
        <f t="shared" si="3"/>
        <v>55.910306666666663</v>
      </c>
      <c r="H48" s="27"/>
      <c r="I48" s="17"/>
      <c r="J48" s="17"/>
      <c r="K48" s="17"/>
    </row>
    <row r="49" spans="1:11" ht="18" customHeight="1" x14ac:dyDescent="0.25">
      <c r="A49" s="17"/>
      <c r="B49" s="28" t="s">
        <v>54</v>
      </c>
      <c r="C49" s="17"/>
      <c r="D49" s="17"/>
      <c r="E49" s="29">
        <f>E45+E47</f>
        <v>539900</v>
      </c>
      <c r="F49" s="29">
        <f>F45+F47</f>
        <v>340105.13</v>
      </c>
      <c r="G49" s="29">
        <f t="shared" si="3"/>
        <v>62.994097055010187</v>
      </c>
      <c r="H49" s="27"/>
      <c r="I49" s="17"/>
      <c r="J49" s="17"/>
      <c r="K49" s="17"/>
    </row>
    <row r="50" spans="1:11" ht="21" customHeight="1" x14ac:dyDescent="0.25">
      <c r="A50" s="17"/>
      <c r="B50" s="24" t="s">
        <v>13</v>
      </c>
      <c r="C50" s="17"/>
      <c r="D50" s="17"/>
      <c r="E50" s="20">
        <f>E46+E48</f>
        <v>539900</v>
      </c>
      <c r="F50" s="20">
        <f>F46+F48</f>
        <v>340105.14</v>
      </c>
      <c r="G50" s="20">
        <f t="shared" si="3"/>
        <v>62.994098907205043</v>
      </c>
      <c r="H50" s="27"/>
      <c r="I50" s="17"/>
      <c r="J50" s="17"/>
      <c r="K50" s="17"/>
    </row>
    <row r="51" spans="1:11" ht="24" customHeight="1" x14ac:dyDescent="0.25">
      <c r="A51" s="541" t="s">
        <v>62</v>
      </c>
      <c r="B51" s="541"/>
      <c r="C51" s="541"/>
      <c r="D51" s="541"/>
      <c r="E51" s="541"/>
      <c r="F51" s="541"/>
      <c r="G51" s="541"/>
      <c r="H51" s="541"/>
      <c r="I51" s="541"/>
      <c r="J51" s="541"/>
      <c r="K51" s="541"/>
    </row>
    <row r="52" spans="1:11" ht="99.75" customHeight="1" x14ac:dyDescent="0.25">
      <c r="A52" s="17">
        <v>12</v>
      </c>
      <c r="B52" s="18" t="s">
        <v>65</v>
      </c>
      <c r="C52" s="17" t="s">
        <v>14</v>
      </c>
      <c r="D52" s="19" t="s">
        <v>57</v>
      </c>
      <c r="E52" s="20">
        <v>50000</v>
      </c>
      <c r="F52" s="20">
        <v>47289.5</v>
      </c>
      <c r="G52" s="20">
        <f>F52/E52*100</f>
        <v>94.579000000000008</v>
      </c>
      <c r="H52" s="27">
        <v>100</v>
      </c>
      <c r="I52" s="17"/>
      <c r="J52" s="23" t="s">
        <v>330</v>
      </c>
      <c r="K52" s="17"/>
    </row>
    <row r="53" spans="1:11" ht="24.75" customHeight="1" x14ac:dyDescent="0.25">
      <c r="A53" s="17"/>
      <c r="B53" s="24" t="s">
        <v>13</v>
      </c>
      <c r="C53" s="17"/>
      <c r="D53" s="17"/>
      <c r="E53" s="20">
        <v>50000</v>
      </c>
      <c r="F53" s="20">
        <v>47289.5</v>
      </c>
      <c r="G53" s="20">
        <f>F53/E53*100</f>
        <v>94.579000000000008</v>
      </c>
      <c r="H53" s="27"/>
      <c r="I53" s="17"/>
      <c r="J53" s="17"/>
      <c r="K53" s="17"/>
    </row>
    <row r="54" spans="1:11" ht="21.75" customHeight="1" x14ac:dyDescent="0.25">
      <c r="A54" s="17"/>
      <c r="B54" s="28" t="s">
        <v>54</v>
      </c>
      <c r="C54" s="17"/>
      <c r="D54" s="17"/>
      <c r="E54" s="29">
        <v>50000</v>
      </c>
      <c r="F54" s="29">
        <v>47289.5</v>
      </c>
      <c r="G54" s="29">
        <f t="shared" ref="G54:G70" si="4">F54/E54*100</f>
        <v>94.579000000000008</v>
      </c>
      <c r="H54" s="27"/>
      <c r="I54" s="17"/>
      <c r="J54" s="17"/>
      <c r="K54" s="17"/>
    </row>
    <row r="55" spans="1:11" ht="21.75" customHeight="1" x14ac:dyDescent="0.25">
      <c r="A55" s="17"/>
      <c r="B55" s="24" t="s">
        <v>13</v>
      </c>
      <c r="C55" s="17"/>
      <c r="D55" s="17"/>
      <c r="E55" s="20">
        <v>50000</v>
      </c>
      <c r="F55" s="20">
        <v>47289.5</v>
      </c>
      <c r="G55" s="20">
        <f t="shared" si="4"/>
        <v>94.579000000000008</v>
      </c>
      <c r="H55" s="27"/>
      <c r="I55" s="17"/>
      <c r="J55" s="17"/>
      <c r="K55" s="17"/>
    </row>
    <row r="56" spans="1:11" ht="33.75" customHeight="1" x14ac:dyDescent="0.25">
      <c r="A56" s="541" t="s">
        <v>64</v>
      </c>
      <c r="B56" s="541"/>
      <c r="C56" s="541"/>
      <c r="D56" s="541"/>
      <c r="E56" s="541"/>
      <c r="F56" s="541"/>
      <c r="G56" s="541"/>
      <c r="H56" s="541"/>
      <c r="I56" s="541"/>
      <c r="J56" s="541"/>
      <c r="K56" s="541"/>
    </row>
    <row r="57" spans="1:11" ht="72.75" customHeight="1" x14ac:dyDescent="0.25">
      <c r="A57" s="17">
        <v>13</v>
      </c>
      <c r="B57" s="18" t="s">
        <v>66</v>
      </c>
      <c r="C57" s="17" t="s">
        <v>14</v>
      </c>
      <c r="D57" s="19" t="s">
        <v>16</v>
      </c>
      <c r="E57" s="33">
        <v>15000</v>
      </c>
      <c r="F57" s="33">
        <v>16810.11</v>
      </c>
      <c r="G57" s="20">
        <f t="shared" si="4"/>
        <v>112.06739999999999</v>
      </c>
      <c r="H57" s="27">
        <v>100</v>
      </c>
      <c r="I57" s="17"/>
      <c r="J57" s="23" t="s">
        <v>330</v>
      </c>
      <c r="K57" s="17"/>
    </row>
    <row r="58" spans="1:11" ht="23.25" customHeight="1" x14ac:dyDescent="0.25">
      <c r="A58" s="17"/>
      <c r="B58" s="24" t="s">
        <v>53</v>
      </c>
      <c r="C58" s="17"/>
      <c r="D58" s="17"/>
      <c r="E58" s="33">
        <v>15000</v>
      </c>
      <c r="F58" s="33">
        <v>16810.11</v>
      </c>
      <c r="G58" s="20">
        <f t="shared" si="4"/>
        <v>112.06739999999999</v>
      </c>
      <c r="H58" s="27"/>
      <c r="I58" s="17"/>
      <c r="J58" s="17"/>
      <c r="K58" s="17"/>
    </row>
    <row r="59" spans="1:11" ht="18" customHeight="1" x14ac:dyDescent="0.25">
      <c r="A59" s="17"/>
      <c r="B59" s="28" t="s">
        <v>54</v>
      </c>
      <c r="C59" s="17"/>
      <c r="D59" s="17"/>
      <c r="E59" s="34">
        <v>15000</v>
      </c>
      <c r="F59" s="34">
        <v>16810.11</v>
      </c>
      <c r="G59" s="29">
        <f t="shared" si="4"/>
        <v>112.06739999999999</v>
      </c>
      <c r="H59" s="27"/>
      <c r="I59" s="17"/>
      <c r="J59" s="17"/>
      <c r="K59" s="17"/>
    </row>
    <row r="60" spans="1:11" ht="23.25" customHeight="1" x14ac:dyDescent="0.25">
      <c r="A60" s="17"/>
      <c r="B60" s="24" t="s">
        <v>53</v>
      </c>
      <c r="C60" s="17"/>
      <c r="D60" s="17"/>
      <c r="E60" s="33">
        <v>15000</v>
      </c>
      <c r="F60" s="33">
        <v>16810.11</v>
      </c>
      <c r="G60" s="20">
        <f t="shared" si="4"/>
        <v>112.06739999999999</v>
      </c>
      <c r="H60" s="27"/>
      <c r="I60" s="17"/>
      <c r="J60" s="17"/>
      <c r="K60" s="17"/>
    </row>
    <row r="61" spans="1:11" ht="23.25" customHeight="1" x14ac:dyDescent="0.25">
      <c r="A61" s="541" t="s">
        <v>67</v>
      </c>
      <c r="B61" s="541"/>
      <c r="C61" s="541"/>
      <c r="D61" s="541"/>
      <c r="E61" s="541"/>
      <c r="F61" s="541"/>
      <c r="G61" s="541"/>
      <c r="H61" s="541"/>
      <c r="I61" s="541"/>
      <c r="J61" s="541"/>
      <c r="K61" s="541"/>
    </row>
    <row r="62" spans="1:11" ht="111.75" customHeight="1" x14ac:dyDescent="0.25">
      <c r="A62" s="17">
        <v>14</v>
      </c>
      <c r="B62" s="18" t="s">
        <v>68</v>
      </c>
      <c r="C62" s="17" t="s">
        <v>14</v>
      </c>
      <c r="D62" s="19" t="s">
        <v>16</v>
      </c>
      <c r="E62" s="33">
        <v>472000</v>
      </c>
      <c r="F62" s="33">
        <v>300710.58</v>
      </c>
      <c r="G62" s="20">
        <f t="shared" si="4"/>
        <v>63.709868644067804</v>
      </c>
      <c r="H62" s="27">
        <v>64</v>
      </c>
      <c r="I62" s="17" t="s">
        <v>337</v>
      </c>
      <c r="J62" s="23" t="s">
        <v>330</v>
      </c>
      <c r="K62" s="18" t="s">
        <v>338</v>
      </c>
    </row>
    <row r="63" spans="1:11" ht="23.25" customHeight="1" x14ac:dyDescent="0.25">
      <c r="A63" s="17"/>
      <c r="B63" s="24" t="s">
        <v>13</v>
      </c>
      <c r="C63" s="17"/>
      <c r="D63" s="17"/>
      <c r="E63" s="33">
        <v>472000</v>
      </c>
      <c r="F63" s="35">
        <v>300710.58</v>
      </c>
      <c r="G63" s="20">
        <f t="shared" si="4"/>
        <v>63.709868644067804</v>
      </c>
      <c r="H63" s="27"/>
      <c r="I63" s="17"/>
      <c r="J63" s="17"/>
      <c r="K63" s="17"/>
    </row>
    <row r="64" spans="1:11" ht="23.25" customHeight="1" x14ac:dyDescent="0.25">
      <c r="A64" s="17"/>
      <c r="B64" s="28" t="s">
        <v>54</v>
      </c>
      <c r="C64" s="17"/>
      <c r="D64" s="17"/>
      <c r="E64" s="34">
        <v>472000</v>
      </c>
      <c r="F64" s="34">
        <v>300710.58</v>
      </c>
      <c r="G64" s="29">
        <f t="shared" si="4"/>
        <v>63.709868644067804</v>
      </c>
      <c r="H64" s="27"/>
      <c r="I64" s="17"/>
      <c r="J64" s="17"/>
      <c r="K64" s="17"/>
    </row>
    <row r="65" spans="1:11" ht="23.25" customHeight="1" x14ac:dyDescent="0.25">
      <c r="A65" s="17"/>
      <c r="B65" s="24" t="s">
        <v>13</v>
      </c>
      <c r="C65" s="17"/>
      <c r="D65" s="17"/>
      <c r="E65" s="33">
        <v>472000</v>
      </c>
      <c r="F65" s="33">
        <v>300710.58</v>
      </c>
      <c r="G65" s="20">
        <f t="shared" si="4"/>
        <v>63.709868644067804</v>
      </c>
      <c r="H65" s="27"/>
      <c r="I65" s="17"/>
      <c r="J65" s="17"/>
      <c r="K65" s="17"/>
    </row>
    <row r="66" spans="1:11" ht="23.25" customHeight="1" x14ac:dyDescent="0.25">
      <c r="A66" s="541" t="s">
        <v>69</v>
      </c>
      <c r="B66" s="541"/>
      <c r="C66" s="541"/>
      <c r="D66" s="541"/>
      <c r="E66" s="541"/>
      <c r="F66" s="541"/>
      <c r="G66" s="541"/>
      <c r="H66" s="541"/>
      <c r="I66" s="541"/>
      <c r="J66" s="541"/>
      <c r="K66" s="541"/>
    </row>
    <row r="67" spans="1:11" ht="65.25" customHeight="1" x14ac:dyDescent="0.25">
      <c r="A67" s="17">
        <v>15</v>
      </c>
      <c r="B67" s="18" t="s">
        <v>70</v>
      </c>
      <c r="C67" s="17" t="s">
        <v>14</v>
      </c>
      <c r="D67" s="19" t="s">
        <v>16</v>
      </c>
      <c r="E67" s="33">
        <v>7500</v>
      </c>
      <c r="F67" s="33">
        <v>7418.48</v>
      </c>
      <c r="G67" s="20">
        <f t="shared" si="4"/>
        <v>98.913066666666666</v>
      </c>
      <c r="H67" s="27">
        <v>100</v>
      </c>
      <c r="I67" s="17"/>
      <c r="J67" s="23" t="s">
        <v>330</v>
      </c>
      <c r="K67" s="17"/>
    </row>
    <row r="68" spans="1:11" ht="19.5" customHeight="1" x14ac:dyDescent="0.25">
      <c r="A68" s="17"/>
      <c r="B68" s="24" t="s">
        <v>13</v>
      </c>
      <c r="C68" s="17"/>
      <c r="D68" s="17"/>
      <c r="E68" s="33">
        <v>7500</v>
      </c>
      <c r="F68" s="33">
        <v>7418.48</v>
      </c>
      <c r="G68" s="20">
        <f t="shared" si="4"/>
        <v>98.913066666666666</v>
      </c>
      <c r="H68" s="27"/>
      <c r="I68" s="17"/>
      <c r="J68" s="17"/>
      <c r="K68" s="17"/>
    </row>
    <row r="69" spans="1:11" ht="51.75" customHeight="1" x14ac:dyDescent="0.25">
      <c r="A69" s="17">
        <v>16</v>
      </c>
      <c r="B69" s="18" t="s">
        <v>71</v>
      </c>
      <c r="C69" s="17" t="s">
        <v>14</v>
      </c>
      <c r="D69" s="19" t="s">
        <v>16</v>
      </c>
      <c r="E69" s="33">
        <v>10051.9</v>
      </c>
      <c r="F69" s="33">
        <v>10038</v>
      </c>
      <c r="G69" s="20">
        <f t="shared" si="4"/>
        <v>99.861717685213748</v>
      </c>
      <c r="H69" s="27">
        <v>100</v>
      </c>
      <c r="I69" s="17"/>
      <c r="J69" s="23" t="s">
        <v>330</v>
      </c>
      <c r="K69" s="17"/>
    </row>
    <row r="70" spans="1:11" ht="20.25" customHeight="1" x14ac:dyDescent="0.25">
      <c r="A70" s="17"/>
      <c r="B70" s="24" t="s">
        <v>13</v>
      </c>
      <c r="C70" s="17"/>
      <c r="D70" s="17"/>
      <c r="E70" s="33">
        <v>10051.9</v>
      </c>
      <c r="F70" s="33">
        <v>10038</v>
      </c>
      <c r="G70" s="20">
        <f t="shared" si="4"/>
        <v>99.861717685213748</v>
      </c>
      <c r="H70" s="27"/>
      <c r="I70" s="17"/>
      <c r="J70" s="17"/>
      <c r="K70" s="17"/>
    </row>
    <row r="71" spans="1:11" ht="216" customHeight="1" x14ac:dyDescent="0.25">
      <c r="A71" s="17">
        <v>17</v>
      </c>
      <c r="B71" s="18" t="s">
        <v>72</v>
      </c>
      <c r="C71" s="17" t="s">
        <v>14</v>
      </c>
      <c r="D71" s="19" t="s">
        <v>16</v>
      </c>
      <c r="E71" s="20">
        <v>13500</v>
      </c>
      <c r="F71" s="33">
        <v>12632.93</v>
      </c>
      <c r="G71" s="20">
        <f>F71/E71*100</f>
        <v>93.577259259259264</v>
      </c>
      <c r="H71" s="27">
        <v>100</v>
      </c>
      <c r="I71" s="17"/>
      <c r="J71" s="23" t="s">
        <v>330</v>
      </c>
      <c r="K71" s="17"/>
    </row>
    <row r="72" spans="1:11" ht="23.25" customHeight="1" x14ac:dyDescent="0.25">
      <c r="A72" s="17"/>
      <c r="B72" s="24" t="s">
        <v>13</v>
      </c>
      <c r="C72" s="17"/>
      <c r="D72" s="17"/>
      <c r="E72" s="20">
        <v>13500</v>
      </c>
      <c r="F72" s="33">
        <v>12632.93</v>
      </c>
      <c r="G72" s="20">
        <f>F72/E72*100</f>
        <v>93.577259259259264</v>
      </c>
      <c r="H72" s="27"/>
      <c r="I72" s="17"/>
      <c r="J72" s="17"/>
      <c r="K72" s="17"/>
    </row>
    <row r="73" spans="1:11" ht="23.25" customHeight="1" x14ac:dyDescent="0.25">
      <c r="A73" s="17"/>
      <c r="B73" s="28" t="s">
        <v>54</v>
      </c>
      <c r="C73" s="17"/>
      <c r="D73" s="17"/>
      <c r="E73" s="34">
        <f>E67+E69+E71</f>
        <v>31051.9</v>
      </c>
      <c r="F73" s="34">
        <f>F67+F69+F71</f>
        <v>30089.41</v>
      </c>
      <c r="G73" s="20">
        <f>F73/E73*100</f>
        <v>96.900382907326119</v>
      </c>
      <c r="H73" s="27"/>
      <c r="I73" s="17"/>
      <c r="J73" s="17"/>
      <c r="K73" s="17"/>
    </row>
    <row r="74" spans="1:11" ht="23.25" customHeight="1" x14ac:dyDescent="0.25">
      <c r="A74" s="17"/>
      <c r="B74" s="24" t="s">
        <v>13</v>
      </c>
      <c r="C74" s="17"/>
      <c r="D74" s="17"/>
      <c r="E74" s="20">
        <f>E68+E70+E72</f>
        <v>31051.9</v>
      </c>
      <c r="F74" s="20">
        <f>F68+F70+F72</f>
        <v>30089.41</v>
      </c>
      <c r="G74" s="20">
        <f>F74/E74*100</f>
        <v>96.900382907326119</v>
      </c>
      <c r="H74" s="27"/>
      <c r="I74" s="17"/>
      <c r="J74" s="17"/>
      <c r="K74" s="17"/>
    </row>
    <row r="75" spans="1:11" ht="33.75" customHeight="1" x14ac:dyDescent="0.25">
      <c r="A75" s="541" t="s">
        <v>35</v>
      </c>
      <c r="B75" s="541"/>
      <c r="C75" s="541"/>
      <c r="D75" s="541"/>
      <c r="E75" s="541"/>
      <c r="F75" s="541"/>
      <c r="G75" s="541"/>
      <c r="H75" s="541"/>
      <c r="I75" s="541"/>
      <c r="J75" s="541"/>
      <c r="K75" s="541"/>
    </row>
    <row r="76" spans="1:11" ht="64.5" customHeight="1" x14ac:dyDescent="0.25">
      <c r="A76" s="17">
        <v>18</v>
      </c>
      <c r="B76" s="18" t="s">
        <v>46</v>
      </c>
      <c r="C76" s="1" t="s">
        <v>14</v>
      </c>
      <c r="D76" s="1" t="s">
        <v>44</v>
      </c>
      <c r="E76" s="36">
        <v>5000</v>
      </c>
      <c r="F76" s="36">
        <v>5000</v>
      </c>
      <c r="G76" s="17">
        <v>100</v>
      </c>
      <c r="H76" s="27">
        <v>100</v>
      </c>
      <c r="I76" s="17"/>
      <c r="J76" s="23" t="s">
        <v>330</v>
      </c>
      <c r="K76" s="17"/>
    </row>
    <row r="77" spans="1:11" ht="18.75" customHeight="1" x14ac:dyDescent="0.25">
      <c r="A77" s="17"/>
      <c r="B77" s="24" t="s">
        <v>13</v>
      </c>
      <c r="C77" s="17"/>
      <c r="D77" s="17"/>
      <c r="E77" s="36">
        <v>5000</v>
      </c>
      <c r="F77" s="36">
        <v>5000</v>
      </c>
      <c r="G77" s="17">
        <v>100</v>
      </c>
      <c r="H77" s="27"/>
      <c r="I77" s="17"/>
      <c r="J77" s="17"/>
      <c r="K77" s="17"/>
    </row>
    <row r="78" spans="1:11" s="38" customFormat="1" ht="97.5" customHeight="1" x14ac:dyDescent="0.25">
      <c r="A78" s="17">
        <v>19</v>
      </c>
      <c r="B78" s="18" t="s">
        <v>339</v>
      </c>
      <c r="C78" s="1" t="s">
        <v>14</v>
      </c>
      <c r="D78" s="1">
        <v>2016</v>
      </c>
      <c r="E78" s="36">
        <v>25000</v>
      </c>
      <c r="F78" s="36">
        <v>25000</v>
      </c>
      <c r="G78" s="17">
        <v>100</v>
      </c>
      <c r="H78" s="27">
        <v>100</v>
      </c>
      <c r="I78" s="17"/>
      <c r="J78" s="37" t="s">
        <v>340</v>
      </c>
      <c r="K78" s="17"/>
    </row>
    <row r="79" spans="1:11" ht="20.25" customHeight="1" x14ac:dyDescent="0.25">
      <c r="A79" s="17"/>
      <c r="B79" s="24" t="s">
        <v>13</v>
      </c>
      <c r="C79" s="17"/>
      <c r="D79" s="17"/>
      <c r="E79" s="36">
        <v>25000</v>
      </c>
      <c r="F79" s="36">
        <v>25000</v>
      </c>
      <c r="G79" s="17">
        <v>100</v>
      </c>
      <c r="H79" s="27"/>
      <c r="I79" s="17"/>
      <c r="J79" s="17"/>
      <c r="K79" s="17"/>
    </row>
    <row r="80" spans="1:11" s="38" customFormat="1" ht="84.75" customHeight="1" x14ac:dyDescent="0.25">
      <c r="A80" s="17">
        <v>20</v>
      </c>
      <c r="B80" s="18" t="s">
        <v>341</v>
      </c>
      <c r="C80" s="1" t="s">
        <v>14</v>
      </c>
      <c r="D80" s="1" t="s">
        <v>45</v>
      </c>
      <c r="E80" s="36">
        <v>11870</v>
      </c>
      <c r="F80" s="36">
        <v>11870</v>
      </c>
      <c r="G80" s="17">
        <v>100</v>
      </c>
      <c r="H80" s="27">
        <v>100</v>
      </c>
      <c r="I80" s="17"/>
      <c r="J80" s="23" t="s">
        <v>342</v>
      </c>
      <c r="K80" s="17"/>
    </row>
    <row r="81" spans="1:11" ht="21.75" customHeight="1" x14ac:dyDescent="0.25">
      <c r="A81" s="17"/>
      <c r="B81" s="24" t="s">
        <v>13</v>
      </c>
      <c r="C81" s="17"/>
      <c r="D81" s="17"/>
      <c r="E81" s="36">
        <v>11870</v>
      </c>
      <c r="F81" s="36">
        <v>11870</v>
      </c>
      <c r="G81" s="17">
        <v>100</v>
      </c>
      <c r="H81" s="27"/>
      <c r="I81" s="17"/>
      <c r="J81" s="17"/>
      <c r="K81" s="17"/>
    </row>
    <row r="82" spans="1:11" ht="70.5" customHeight="1" x14ac:dyDescent="0.25">
      <c r="A82" s="17">
        <v>21</v>
      </c>
      <c r="B82" s="18" t="s">
        <v>47</v>
      </c>
      <c r="C82" s="39" t="s">
        <v>48</v>
      </c>
      <c r="D82" s="1" t="s">
        <v>15</v>
      </c>
      <c r="E82" s="36">
        <v>49411.199999999997</v>
      </c>
      <c r="F82" s="36">
        <v>46418</v>
      </c>
      <c r="G82" s="27">
        <f>F82/E82*100</f>
        <v>93.942264102065934</v>
      </c>
      <c r="H82" s="27">
        <v>100</v>
      </c>
      <c r="I82" s="40"/>
      <c r="J82" s="23" t="s">
        <v>343</v>
      </c>
      <c r="K82" s="17"/>
    </row>
    <row r="83" spans="1:11" ht="23.25" customHeight="1" x14ac:dyDescent="0.25">
      <c r="A83" s="17"/>
      <c r="B83" s="24" t="s">
        <v>13</v>
      </c>
      <c r="C83" s="17"/>
      <c r="D83" s="17"/>
      <c r="E83" s="36">
        <v>49411.199999999997</v>
      </c>
      <c r="F83" s="36">
        <v>46418</v>
      </c>
      <c r="G83" s="27">
        <f>F83/E83*100</f>
        <v>93.942264102065934</v>
      </c>
      <c r="H83" s="27"/>
      <c r="I83" s="17"/>
      <c r="J83" s="17"/>
      <c r="K83" s="17"/>
    </row>
    <row r="84" spans="1:11" ht="117.75" customHeight="1" x14ac:dyDescent="0.25">
      <c r="A84" s="17">
        <v>22</v>
      </c>
      <c r="B84" s="18" t="s">
        <v>49</v>
      </c>
      <c r="C84" s="39" t="s">
        <v>50</v>
      </c>
      <c r="D84" s="1" t="s">
        <v>15</v>
      </c>
      <c r="E84" s="36">
        <v>25000</v>
      </c>
      <c r="F84" s="36">
        <v>25000</v>
      </c>
      <c r="G84" s="17">
        <v>100</v>
      </c>
      <c r="H84" s="27">
        <v>100</v>
      </c>
      <c r="I84" s="40"/>
      <c r="J84" s="23" t="s">
        <v>330</v>
      </c>
      <c r="K84" s="17"/>
    </row>
    <row r="85" spans="1:11" ht="22.5" customHeight="1" x14ac:dyDescent="0.25">
      <c r="A85" s="17"/>
      <c r="B85" s="24" t="s">
        <v>13</v>
      </c>
      <c r="C85" s="17"/>
      <c r="D85" s="17"/>
      <c r="E85" s="36">
        <v>25000</v>
      </c>
      <c r="F85" s="36">
        <v>25000</v>
      </c>
      <c r="G85" s="17">
        <v>100</v>
      </c>
      <c r="H85" s="27"/>
      <c r="I85" s="17"/>
      <c r="J85" s="17"/>
      <c r="K85" s="17"/>
    </row>
    <row r="86" spans="1:11" ht="84" customHeight="1" x14ac:dyDescent="0.25">
      <c r="A86" s="17">
        <v>23</v>
      </c>
      <c r="B86" s="18" t="s">
        <v>51</v>
      </c>
      <c r="C86" s="17" t="s">
        <v>50</v>
      </c>
      <c r="D86" s="1" t="s">
        <v>52</v>
      </c>
      <c r="E86" s="36">
        <v>30000</v>
      </c>
      <c r="F86" s="36">
        <v>60000</v>
      </c>
      <c r="G86" s="17">
        <f>F86/E86*100</f>
        <v>200</v>
      </c>
      <c r="H86" s="27">
        <v>100</v>
      </c>
      <c r="I86" s="40"/>
      <c r="J86" s="23" t="s">
        <v>344</v>
      </c>
      <c r="K86" s="17"/>
    </row>
    <row r="87" spans="1:11" ht="22.5" customHeight="1" x14ac:dyDescent="0.25">
      <c r="A87" s="17"/>
      <c r="B87" s="24" t="s">
        <v>13</v>
      </c>
      <c r="C87" s="17"/>
      <c r="D87" s="17"/>
      <c r="E87" s="36">
        <v>30000</v>
      </c>
      <c r="F87" s="36">
        <v>30000</v>
      </c>
      <c r="G87" s="17">
        <v>100</v>
      </c>
      <c r="H87" s="27">
        <v>100</v>
      </c>
      <c r="I87" s="17"/>
      <c r="J87" s="17"/>
      <c r="K87" s="17"/>
    </row>
    <row r="88" spans="1:11" ht="23.25" customHeight="1" x14ac:dyDescent="0.25">
      <c r="A88" s="17"/>
      <c r="B88" s="24" t="s">
        <v>53</v>
      </c>
      <c r="C88" s="17"/>
      <c r="D88" s="17"/>
      <c r="E88" s="41"/>
      <c r="F88" s="36">
        <v>30000</v>
      </c>
      <c r="G88" s="17"/>
      <c r="H88" s="27"/>
      <c r="I88" s="17"/>
      <c r="J88" s="17"/>
      <c r="K88" s="17"/>
    </row>
    <row r="89" spans="1:11" ht="21.75" customHeight="1" x14ac:dyDescent="0.25">
      <c r="A89" s="17"/>
      <c r="B89" s="28" t="s">
        <v>54</v>
      </c>
      <c r="C89" s="17"/>
      <c r="D89" s="17"/>
      <c r="E89" s="42">
        <f>E76+E78+E80+E82+E84+E86</f>
        <v>146281.20000000001</v>
      </c>
      <c r="F89" s="42">
        <f>F76+F78+F80+F82+F84+F86</f>
        <v>173288</v>
      </c>
      <c r="G89" s="43">
        <f>F89/E89*100</f>
        <v>118.46224942097821</v>
      </c>
      <c r="H89" s="27"/>
      <c r="I89" s="17"/>
      <c r="J89" s="17"/>
      <c r="K89" s="17"/>
    </row>
    <row r="90" spans="1:11" ht="18.75" customHeight="1" x14ac:dyDescent="0.25">
      <c r="A90" s="17"/>
      <c r="B90" s="24" t="s">
        <v>13</v>
      </c>
      <c r="C90" s="17"/>
      <c r="D90" s="17"/>
      <c r="E90" s="44">
        <f>E77+E79+E81+E83+E85+E87</f>
        <v>146281.20000000001</v>
      </c>
      <c r="F90" s="44">
        <f>F77+F79+F81+F83+F85+F87</f>
        <v>143288</v>
      </c>
      <c r="G90" s="30">
        <f>F90/E90*100</f>
        <v>97.95380404317163</v>
      </c>
      <c r="H90" s="27"/>
      <c r="I90" s="17"/>
      <c r="J90" s="17"/>
      <c r="K90" s="17"/>
    </row>
    <row r="91" spans="1:11" ht="27.75" customHeight="1" x14ac:dyDescent="0.25">
      <c r="A91" s="17"/>
      <c r="B91" s="24" t="s">
        <v>53</v>
      </c>
      <c r="C91" s="17"/>
      <c r="D91" s="17"/>
      <c r="E91" s="44"/>
      <c r="F91" s="44">
        <f>F88</f>
        <v>30000</v>
      </c>
      <c r="G91" s="40"/>
      <c r="H91" s="27"/>
      <c r="I91" s="17"/>
      <c r="J91" s="17"/>
      <c r="K91" s="17"/>
    </row>
    <row r="92" spans="1:11" ht="27.75" customHeight="1" x14ac:dyDescent="0.25">
      <c r="A92" s="541" t="s">
        <v>55</v>
      </c>
      <c r="B92" s="541"/>
      <c r="C92" s="541"/>
      <c r="D92" s="541"/>
      <c r="E92" s="541"/>
      <c r="F92" s="541"/>
      <c r="G92" s="541"/>
      <c r="H92" s="541"/>
      <c r="I92" s="541"/>
      <c r="J92" s="541"/>
      <c r="K92" s="541"/>
    </row>
    <row r="93" spans="1:11" ht="67.5" customHeight="1" x14ac:dyDescent="0.25">
      <c r="A93" s="17">
        <v>24</v>
      </c>
      <c r="B93" s="18" t="s">
        <v>56</v>
      </c>
      <c r="C93" s="1" t="s">
        <v>14</v>
      </c>
      <c r="D93" s="17" t="s">
        <v>57</v>
      </c>
      <c r="E93" s="45">
        <v>60000</v>
      </c>
      <c r="F93" s="45">
        <v>59369.279999999999</v>
      </c>
      <c r="G93" s="46">
        <f>F93/E93*100</f>
        <v>98.948800000000006</v>
      </c>
      <c r="H93" s="47">
        <v>100</v>
      </c>
      <c r="I93" s="48"/>
      <c r="J93" s="23" t="s">
        <v>344</v>
      </c>
      <c r="K93" s="17"/>
    </row>
    <row r="94" spans="1:11" ht="27.75" customHeight="1" x14ac:dyDescent="0.25">
      <c r="A94" s="17"/>
      <c r="B94" s="24" t="s">
        <v>13</v>
      </c>
      <c r="C94" s="17"/>
      <c r="D94" s="17"/>
      <c r="E94" s="45">
        <v>60000</v>
      </c>
      <c r="F94" s="45">
        <v>59369.279999999999</v>
      </c>
      <c r="G94" s="46">
        <f>F94/E94*100</f>
        <v>98.948800000000006</v>
      </c>
      <c r="H94" s="27"/>
      <c r="I94" s="17"/>
      <c r="J94" s="17"/>
      <c r="K94" s="17"/>
    </row>
    <row r="95" spans="1:11" ht="19.5" customHeight="1" x14ac:dyDescent="0.25">
      <c r="A95" s="17"/>
      <c r="B95" s="28" t="s">
        <v>54</v>
      </c>
      <c r="C95" s="17"/>
      <c r="D95" s="17"/>
      <c r="E95" s="49">
        <v>60000</v>
      </c>
      <c r="F95" s="49">
        <v>59369.279999999999</v>
      </c>
      <c r="G95" s="50">
        <f t="shared" ref="G95:G96" si="5">F95/E95*100</f>
        <v>98.948800000000006</v>
      </c>
      <c r="H95" s="27"/>
      <c r="I95" s="17"/>
      <c r="J95" s="17"/>
      <c r="K95" s="17"/>
    </row>
    <row r="96" spans="1:11" ht="17.25" customHeight="1" x14ac:dyDescent="0.25">
      <c r="A96" s="17"/>
      <c r="B96" s="24" t="s">
        <v>13</v>
      </c>
      <c r="C96" s="17"/>
      <c r="D96" s="17"/>
      <c r="E96" s="45">
        <v>60000</v>
      </c>
      <c r="F96" s="45">
        <v>59369.279999999999</v>
      </c>
      <c r="G96" s="46">
        <f t="shared" si="5"/>
        <v>98.948800000000006</v>
      </c>
      <c r="H96" s="27"/>
      <c r="I96" s="17"/>
      <c r="J96" s="17"/>
      <c r="K96" s="17"/>
    </row>
    <row r="97" spans="1:11" ht="30" customHeight="1" x14ac:dyDescent="0.25">
      <c r="A97" s="541" t="s">
        <v>58</v>
      </c>
      <c r="B97" s="541"/>
      <c r="C97" s="541"/>
      <c r="D97" s="541"/>
      <c r="E97" s="541"/>
      <c r="F97" s="541"/>
      <c r="G97" s="541"/>
      <c r="H97" s="541"/>
      <c r="I97" s="541"/>
      <c r="J97" s="541"/>
      <c r="K97" s="541"/>
    </row>
    <row r="98" spans="1:11" ht="105" customHeight="1" x14ac:dyDescent="0.25">
      <c r="A98" s="17">
        <v>25</v>
      </c>
      <c r="B98" s="18" t="s">
        <v>345</v>
      </c>
      <c r="C98" s="39" t="s">
        <v>14</v>
      </c>
      <c r="D98" s="17">
        <v>2016</v>
      </c>
      <c r="E98" s="45">
        <v>30000</v>
      </c>
      <c r="F98" s="45">
        <v>30000</v>
      </c>
      <c r="G98" s="1">
        <v>100</v>
      </c>
      <c r="H98" s="47">
        <v>100</v>
      </c>
      <c r="I98" s="48"/>
      <c r="J98" s="37" t="s">
        <v>340</v>
      </c>
      <c r="K98" s="17"/>
    </row>
    <row r="99" spans="1:11" ht="17.25" customHeight="1" x14ac:dyDescent="0.25">
      <c r="A99" s="17"/>
      <c r="B99" s="24" t="s">
        <v>13</v>
      </c>
      <c r="C99" s="17"/>
      <c r="D99" s="17"/>
      <c r="E99" s="45">
        <v>30000</v>
      </c>
      <c r="F99" s="45">
        <v>30000</v>
      </c>
      <c r="G99" s="1">
        <v>100</v>
      </c>
      <c r="H99" s="27"/>
      <c r="I99" s="17"/>
      <c r="J99" s="17"/>
      <c r="K99" s="17"/>
    </row>
    <row r="100" spans="1:11" ht="64.5" customHeight="1" x14ac:dyDescent="0.25">
      <c r="A100" s="17">
        <v>26</v>
      </c>
      <c r="B100" s="18" t="s">
        <v>59</v>
      </c>
      <c r="C100" s="39" t="s">
        <v>14</v>
      </c>
      <c r="D100" s="17" t="s">
        <v>44</v>
      </c>
      <c r="E100" s="45">
        <v>20000</v>
      </c>
      <c r="F100" s="45">
        <v>20000</v>
      </c>
      <c r="G100" s="1">
        <v>100</v>
      </c>
      <c r="H100" s="47">
        <v>100</v>
      </c>
      <c r="I100" s="48"/>
      <c r="J100" s="23" t="s">
        <v>330</v>
      </c>
      <c r="K100" s="17"/>
    </row>
    <row r="101" spans="1:11" ht="17.25" customHeight="1" x14ac:dyDescent="0.25">
      <c r="A101" s="17"/>
      <c r="B101" s="24" t="s">
        <v>13</v>
      </c>
      <c r="C101" s="17"/>
      <c r="D101" s="17"/>
      <c r="E101" s="45">
        <v>20000</v>
      </c>
      <c r="F101" s="45">
        <v>20000</v>
      </c>
      <c r="G101" s="1">
        <v>100</v>
      </c>
      <c r="H101" s="27"/>
      <c r="I101" s="17"/>
      <c r="J101" s="17"/>
      <c r="K101" s="17"/>
    </row>
    <row r="102" spans="1:11" ht="17.25" customHeight="1" x14ac:dyDescent="0.25">
      <c r="A102" s="17"/>
      <c r="B102" s="28" t="s">
        <v>54</v>
      </c>
      <c r="C102" s="17"/>
      <c r="D102" s="17"/>
      <c r="E102" s="49">
        <f>E98+E100</f>
        <v>50000</v>
      </c>
      <c r="F102" s="49">
        <f>F98+F100</f>
        <v>50000</v>
      </c>
      <c r="G102" s="51">
        <v>100</v>
      </c>
      <c r="H102" s="27"/>
      <c r="I102" s="17"/>
      <c r="J102" s="17"/>
      <c r="K102" s="17"/>
    </row>
    <row r="103" spans="1:11" ht="17.25" customHeight="1" x14ac:dyDescent="0.25">
      <c r="A103" s="17"/>
      <c r="B103" s="24" t="s">
        <v>13</v>
      </c>
      <c r="C103" s="17"/>
      <c r="D103" s="17"/>
      <c r="E103" s="45">
        <f>E99+E101</f>
        <v>50000</v>
      </c>
      <c r="F103" s="45">
        <f>F99+F101</f>
        <v>50000</v>
      </c>
      <c r="G103" s="1">
        <v>100</v>
      </c>
      <c r="H103" s="27"/>
      <c r="I103" s="17"/>
      <c r="J103" s="17"/>
      <c r="K103" s="17"/>
    </row>
    <row r="104" spans="1:11" s="38" customFormat="1" ht="84" customHeight="1" x14ac:dyDescent="0.25">
      <c r="A104" s="17">
        <v>27</v>
      </c>
      <c r="B104" s="18" t="s">
        <v>271</v>
      </c>
      <c r="C104" s="1" t="s">
        <v>14</v>
      </c>
      <c r="D104" s="17" t="s">
        <v>44</v>
      </c>
      <c r="E104" s="45">
        <v>13313409.6</v>
      </c>
      <c r="F104" s="45">
        <v>10454046.5</v>
      </c>
      <c r="G104" s="30">
        <f>F104/E104*100</f>
        <v>78.522683625688188</v>
      </c>
      <c r="H104" s="27"/>
      <c r="I104" s="17"/>
      <c r="J104" s="18" t="s">
        <v>346</v>
      </c>
      <c r="K104" s="17"/>
    </row>
    <row r="105" spans="1:11" ht="18.75" customHeight="1" x14ac:dyDescent="0.25">
      <c r="A105" s="17"/>
      <c r="B105" s="24" t="s">
        <v>13</v>
      </c>
      <c r="C105" s="39"/>
      <c r="D105" s="17"/>
      <c r="E105" s="45">
        <v>13313409.6</v>
      </c>
      <c r="F105" s="45">
        <v>10454046.5</v>
      </c>
      <c r="G105" s="30">
        <f>F105/E105*100</f>
        <v>78.522683625688188</v>
      </c>
      <c r="H105" s="27"/>
      <c r="I105" s="17"/>
      <c r="J105" s="18"/>
      <c r="K105" s="17"/>
    </row>
    <row r="106" spans="1:11" ht="18.75" customHeight="1" x14ac:dyDescent="0.25">
      <c r="A106" s="17"/>
      <c r="B106" s="31" t="s">
        <v>73</v>
      </c>
      <c r="C106" s="39"/>
      <c r="D106" s="17"/>
      <c r="E106" s="49">
        <f>E107+E108</f>
        <v>14677642.699999999</v>
      </c>
      <c r="F106" s="49">
        <f>F107+F108</f>
        <v>11471708.52</v>
      </c>
      <c r="G106" s="30">
        <f>F106/E106*100</f>
        <v>78.157703893418798</v>
      </c>
      <c r="H106" s="27"/>
      <c r="I106" s="17"/>
      <c r="J106" s="18"/>
      <c r="K106" s="17"/>
    </row>
    <row r="107" spans="1:11" ht="18.75" customHeight="1" x14ac:dyDescent="0.25">
      <c r="A107" s="17"/>
      <c r="B107" s="32" t="s">
        <v>13</v>
      </c>
      <c r="C107" s="39"/>
      <c r="D107" s="17"/>
      <c r="E107" s="45">
        <f>E50+E55+E65+E74+E90+E96+E103+E105</f>
        <v>14662642.699999999</v>
      </c>
      <c r="F107" s="45">
        <f>F50+F55+F65+F74+F90+F96+F103+F105</f>
        <v>11424898.41</v>
      </c>
      <c r="G107" s="30">
        <f>F107/E107*100</f>
        <v>77.918412415519072</v>
      </c>
      <c r="H107" s="27"/>
      <c r="I107" s="17"/>
      <c r="J107" s="18"/>
      <c r="K107" s="17"/>
    </row>
    <row r="108" spans="1:11" ht="18.75" customHeight="1" x14ac:dyDescent="0.25">
      <c r="A108" s="17"/>
      <c r="B108" s="32" t="s">
        <v>53</v>
      </c>
      <c r="C108" s="39"/>
      <c r="D108" s="17"/>
      <c r="E108" s="45">
        <f>E58+E88</f>
        <v>15000</v>
      </c>
      <c r="F108" s="45">
        <f>F58+F88</f>
        <v>46810.11</v>
      </c>
      <c r="G108" s="47">
        <f>F108/E108*100</f>
        <v>312.06740000000002</v>
      </c>
      <c r="H108" s="27"/>
      <c r="I108" s="17"/>
      <c r="J108" s="18"/>
      <c r="K108" s="17"/>
    </row>
    <row r="109" spans="1:11" ht="9" customHeight="1" x14ac:dyDescent="0.25">
      <c r="A109" s="17"/>
      <c r="B109" s="24"/>
      <c r="C109" s="22"/>
      <c r="D109" s="22"/>
      <c r="E109" s="22"/>
      <c r="F109" s="22"/>
      <c r="G109" s="22"/>
      <c r="H109" s="52"/>
      <c r="I109" s="24"/>
      <c r="J109" s="24"/>
      <c r="K109" s="24"/>
    </row>
    <row r="110" spans="1:11" ht="24" customHeight="1" x14ac:dyDescent="0.25">
      <c r="A110" s="542" t="s">
        <v>347</v>
      </c>
      <c r="B110" s="542"/>
      <c r="C110" s="542"/>
      <c r="D110" s="542"/>
      <c r="E110" s="542"/>
      <c r="F110" s="542"/>
      <c r="G110" s="542"/>
      <c r="H110" s="542"/>
      <c r="I110" s="542"/>
      <c r="J110" s="542"/>
      <c r="K110" s="542"/>
    </row>
    <row r="111" spans="1:11" ht="33.75" customHeight="1" x14ac:dyDescent="0.25">
      <c r="A111" s="541" t="s">
        <v>12</v>
      </c>
      <c r="B111" s="541"/>
      <c r="C111" s="541"/>
      <c r="D111" s="541"/>
      <c r="E111" s="541"/>
      <c r="F111" s="541"/>
      <c r="G111" s="541"/>
      <c r="H111" s="541"/>
      <c r="I111" s="541"/>
      <c r="J111" s="541"/>
      <c r="K111" s="541"/>
    </row>
    <row r="112" spans="1:11" s="38" customFormat="1" ht="231" customHeight="1" x14ac:dyDescent="0.25">
      <c r="A112" s="17">
        <v>28</v>
      </c>
      <c r="B112" s="18" t="s">
        <v>36</v>
      </c>
      <c r="C112" s="17" t="s">
        <v>14</v>
      </c>
      <c r="D112" s="17" t="s">
        <v>15</v>
      </c>
      <c r="E112" s="20">
        <v>13000</v>
      </c>
      <c r="F112" s="20">
        <v>12900</v>
      </c>
      <c r="G112" s="20">
        <v>99.2</v>
      </c>
      <c r="H112" s="47">
        <v>100</v>
      </c>
      <c r="I112" s="17"/>
      <c r="J112" s="23" t="s">
        <v>330</v>
      </c>
      <c r="K112" s="17"/>
    </row>
    <row r="113" spans="1:11" ht="19.5" customHeight="1" x14ac:dyDescent="0.25">
      <c r="A113" s="17"/>
      <c r="B113" s="24" t="s">
        <v>13</v>
      </c>
      <c r="C113" s="17"/>
      <c r="D113" s="17"/>
      <c r="E113" s="20">
        <v>13000</v>
      </c>
      <c r="F113" s="20">
        <v>12900</v>
      </c>
      <c r="G113" s="20">
        <v>99.2</v>
      </c>
      <c r="H113" s="47">
        <v>100</v>
      </c>
      <c r="I113" s="17"/>
      <c r="J113" s="17"/>
      <c r="K113" s="17"/>
    </row>
    <row r="114" spans="1:11" s="38" customFormat="1" ht="114" customHeight="1" x14ac:dyDescent="0.25">
      <c r="A114" s="17">
        <v>29</v>
      </c>
      <c r="B114" s="18" t="s">
        <v>37</v>
      </c>
      <c r="C114" s="17" t="s">
        <v>14</v>
      </c>
      <c r="D114" s="17" t="s">
        <v>16</v>
      </c>
      <c r="E114" s="20">
        <v>10000</v>
      </c>
      <c r="F114" s="20">
        <v>10000</v>
      </c>
      <c r="G114" s="1">
        <v>100</v>
      </c>
      <c r="H114" s="47">
        <v>100</v>
      </c>
      <c r="I114" s="17"/>
      <c r="J114" s="23" t="s">
        <v>330</v>
      </c>
      <c r="K114" s="17"/>
    </row>
    <row r="115" spans="1:11" ht="16.5" customHeight="1" x14ac:dyDescent="0.25">
      <c r="A115" s="17"/>
      <c r="B115" s="24" t="s">
        <v>13</v>
      </c>
      <c r="C115" s="17"/>
      <c r="D115" s="17"/>
      <c r="E115" s="20">
        <v>10000</v>
      </c>
      <c r="F115" s="20">
        <v>10000</v>
      </c>
      <c r="G115" s="1">
        <v>100</v>
      </c>
      <c r="H115" s="47">
        <v>100</v>
      </c>
      <c r="I115" s="17"/>
      <c r="J115" s="17"/>
      <c r="K115" s="17"/>
    </row>
    <row r="116" spans="1:11" s="38" customFormat="1" ht="210.75" customHeight="1" x14ac:dyDescent="0.25">
      <c r="A116" s="17">
        <v>30</v>
      </c>
      <c r="B116" s="18" t="s">
        <v>348</v>
      </c>
      <c r="C116" s="17" t="s">
        <v>17</v>
      </c>
      <c r="D116" s="17">
        <v>2016</v>
      </c>
      <c r="E116" s="17" t="s">
        <v>18</v>
      </c>
      <c r="F116" s="17">
        <v>0</v>
      </c>
      <c r="G116" s="17">
        <v>0</v>
      </c>
      <c r="H116" s="21">
        <v>30</v>
      </c>
      <c r="I116" s="18" t="s">
        <v>349</v>
      </c>
      <c r="J116" s="18" t="s">
        <v>340</v>
      </c>
      <c r="K116" s="19"/>
    </row>
    <row r="117" spans="1:11" ht="19.5" customHeight="1" x14ac:dyDescent="0.25">
      <c r="A117" s="17"/>
      <c r="B117" s="32" t="s">
        <v>19</v>
      </c>
      <c r="C117" s="17"/>
      <c r="D117" s="17"/>
      <c r="E117" s="17"/>
      <c r="F117" s="17"/>
      <c r="G117" s="17"/>
      <c r="H117" s="27"/>
      <c r="I117" s="17"/>
      <c r="J117" s="17"/>
      <c r="K117" s="17"/>
    </row>
    <row r="118" spans="1:11" ht="19.5" customHeight="1" x14ac:dyDescent="0.25">
      <c r="A118" s="17"/>
      <c r="B118" s="28" t="s">
        <v>54</v>
      </c>
      <c r="C118" s="17"/>
      <c r="D118" s="17"/>
      <c r="E118" s="20">
        <f>E113+E115</f>
        <v>23000</v>
      </c>
      <c r="F118" s="20">
        <f>F113+F115</f>
        <v>22900</v>
      </c>
      <c r="G118" s="20">
        <f>F118/E118*100</f>
        <v>99.565217391304344</v>
      </c>
      <c r="H118" s="27">
        <v>85</v>
      </c>
      <c r="I118" s="17"/>
      <c r="J118" s="17"/>
      <c r="K118" s="17"/>
    </row>
    <row r="119" spans="1:11" ht="19.5" customHeight="1" x14ac:dyDescent="0.25">
      <c r="A119" s="17"/>
      <c r="B119" s="24" t="s">
        <v>13</v>
      </c>
      <c r="C119" s="17"/>
      <c r="D119" s="17"/>
      <c r="E119" s="20">
        <v>23000</v>
      </c>
      <c r="F119" s="20">
        <v>22900</v>
      </c>
      <c r="G119" s="20">
        <f>F119/E119*100</f>
        <v>99.565217391304344</v>
      </c>
      <c r="H119" s="27">
        <v>100</v>
      </c>
      <c r="I119" s="17"/>
      <c r="J119" s="17"/>
      <c r="K119" s="17"/>
    </row>
    <row r="120" spans="1:11" ht="19.5" customHeight="1" x14ac:dyDescent="0.25">
      <c r="A120" s="17"/>
      <c r="B120" s="24" t="s">
        <v>19</v>
      </c>
      <c r="C120" s="17"/>
      <c r="D120" s="17"/>
      <c r="E120" s="20">
        <v>0</v>
      </c>
      <c r="F120" s="20">
        <v>0</v>
      </c>
      <c r="G120" s="17">
        <v>0</v>
      </c>
      <c r="H120" s="27">
        <v>70</v>
      </c>
      <c r="I120" s="17"/>
      <c r="J120" s="17"/>
      <c r="K120" s="17"/>
    </row>
    <row r="121" spans="1:11" ht="19.5" customHeight="1" x14ac:dyDescent="0.25">
      <c r="A121" s="541" t="s">
        <v>20</v>
      </c>
      <c r="B121" s="541"/>
      <c r="C121" s="541"/>
      <c r="D121" s="541"/>
      <c r="E121" s="541"/>
      <c r="F121" s="541"/>
      <c r="G121" s="541"/>
      <c r="H121" s="541"/>
      <c r="I121" s="541"/>
      <c r="J121" s="541"/>
      <c r="K121" s="541"/>
    </row>
    <row r="122" spans="1:11" s="38" customFormat="1" ht="51.75" customHeight="1" x14ac:dyDescent="0.25">
      <c r="A122" s="17">
        <v>31</v>
      </c>
      <c r="B122" s="18" t="s">
        <v>350</v>
      </c>
      <c r="C122" s="17" t="s">
        <v>21</v>
      </c>
      <c r="D122" s="17" t="s">
        <v>16</v>
      </c>
      <c r="E122" s="20">
        <v>500000</v>
      </c>
      <c r="F122" s="20">
        <v>489561.09</v>
      </c>
      <c r="G122" s="20">
        <v>99.565217391304344</v>
      </c>
      <c r="H122" s="47">
        <v>100</v>
      </c>
      <c r="I122" s="17"/>
      <c r="J122" s="23" t="s">
        <v>351</v>
      </c>
      <c r="K122" s="17"/>
    </row>
    <row r="123" spans="1:11" ht="19.5" customHeight="1" x14ac:dyDescent="0.25">
      <c r="A123" s="17"/>
      <c r="B123" s="32" t="s">
        <v>22</v>
      </c>
      <c r="C123" s="17"/>
      <c r="D123" s="17"/>
      <c r="E123" s="20">
        <v>500000</v>
      </c>
      <c r="F123" s="20">
        <v>489561.09</v>
      </c>
      <c r="G123" s="20">
        <v>99.565217391304344</v>
      </c>
      <c r="H123" s="47"/>
      <c r="I123" s="17"/>
      <c r="J123" s="17"/>
      <c r="K123" s="17"/>
    </row>
    <row r="124" spans="1:11" ht="19.5" customHeight="1" x14ac:dyDescent="0.25">
      <c r="A124" s="17"/>
      <c r="B124" s="28" t="s">
        <v>54</v>
      </c>
      <c r="C124" s="17"/>
      <c r="D124" s="17"/>
      <c r="E124" s="20">
        <v>500000</v>
      </c>
      <c r="F124" s="20">
        <v>489561.09</v>
      </c>
      <c r="G124" s="20">
        <v>99.565217391304344</v>
      </c>
      <c r="H124" s="27"/>
      <c r="I124" s="17"/>
      <c r="J124" s="17"/>
      <c r="K124" s="17"/>
    </row>
    <row r="125" spans="1:11" ht="19.5" customHeight="1" x14ac:dyDescent="0.25">
      <c r="A125" s="17"/>
      <c r="B125" s="24" t="s">
        <v>22</v>
      </c>
      <c r="C125" s="17"/>
      <c r="D125" s="17"/>
      <c r="E125" s="20">
        <v>500000</v>
      </c>
      <c r="F125" s="20">
        <v>489561.09</v>
      </c>
      <c r="G125" s="20">
        <v>99.565217391304344</v>
      </c>
      <c r="H125" s="27"/>
      <c r="I125" s="17"/>
      <c r="J125" s="17"/>
      <c r="K125" s="17"/>
    </row>
    <row r="126" spans="1:11" ht="19.5" customHeight="1" x14ac:dyDescent="0.25">
      <c r="A126" s="541" t="s">
        <v>23</v>
      </c>
      <c r="B126" s="541"/>
      <c r="C126" s="541"/>
      <c r="D126" s="541"/>
      <c r="E126" s="541"/>
      <c r="F126" s="541"/>
      <c r="G126" s="541"/>
      <c r="H126" s="541"/>
      <c r="I126" s="541"/>
      <c r="J126" s="541"/>
      <c r="K126" s="541"/>
    </row>
    <row r="127" spans="1:11" s="38" customFormat="1" ht="243.75" customHeight="1" x14ac:dyDescent="0.25">
      <c r="A127" s="17">
        <v>32</v>
      </c>
      <c r="B127" s="18" t="s">
        <v>352</v>
      </c>
      <c r="C127" s="17" t="s">
        <v>17</v>
      </c>
      <c r="D127" s="17" t="s">
        <v>15</v>
      </c>
      <c r="E127" s="17" t="s">
        <v>18</v>
      </c>
      <c r="F127" s="20">
        <v>0</v>
      </c>
      <c r="G127" s="17"/>
      <c r="H127" s="27">
        <v>100</v>
      </c>
      <c r="I127" s="17"/>
      <c r="J127" s="23" t="s">
        <v>330</v>
      </c>
      <c r="K127" s="18" t="s">
        <v>353</v>
      </c>
    </row>
    <row r="128" spans="1:11" ht="19.5" customHeight="1" x14ac:dyDescent="0.25">
      <c r="A128" s="17"/>
      <c r="B128" s="32" t="s">
        <v>19</v>
      </c>
      <c r="C128" s="17"/>
      <c r="D128" s="17"/>
      <c r="E128" s="17"/>
      <c r="F128" s="17"/>
      <c r="G128" s="17"/>
      <c r="H128" s="27"/>
      <c r="I128" s="17"/>
      <c r="J128" s="17"/>
      <c r="K128" s="17"/>
    </row>
    <row r="129" spans="1:11" ht="19.5" customHeight="1" x14ac:dyDescent="0.25">
      <c r="A129" s="17"/>
      <c r="B129" s="28" t="s">
        <v>54</v>
      </c>
      <c r="C129" s="17"/>
      <c r="D129" s="17"/>
      <c r="E129" s="17"/>
      <c r="F129" s="17"/>
      <c r="G129" s="17"/>
      <c r="H129" s="27"/>
      <c r="I129" s="17"/>
      <c r="J129" s="17"/>
      <c r="K129" s="17"/>
    </row>
    <row r="130" spans="1:11" ht="19.5" customHeight="1" x14ac:dyDescent="0.25">
      <c r="A130" s="17"/>
      <c r="B130" s="32" t="s">
        <v>19</v>
      </c>
      <c r="C130" s="17"/>
      <c r="D130" s="17"/>
      <c r="E130" s="17"/>
      <c r="F130" s="17"/>
      <c r="G130" s="17"/>
      <c r="H130" s="27"/>
      <c r="I130" s="17"/>
      <c r="J130" s="17"/>
      <c r="K130" s="17"/>
    </row>
    <row r="131" spans="1:11" ht="18.75" customHeight="1" x14ac:dyDescent="0.25">
      <c r="A131" s="541" t="s">
        <v>24</v>
      </c>
      <c r="B131" s="541"/>
      <c r="C131" s="541"/>
      <c r="D131" s="541"/>
      <c r="E131" s="541"/>
      <c r="F131" s="541"/>
      <c r="G131" s="541"/>
      <c r="H131" s="541"/>
      <c r="I131" s="541"/>
      <c r="J131" s="541"/>
      <c r="K131" s="541"/>
    </row>
    <row r="132" spans="1:11" s="38" customFormat="1" ht="101.25" customHeight="1" x14ac:dyDescent="0.25">
      <c r="A132" s="10">
        <v>33</v>
      </c>
      <c r="B132" s="18" t="s">
        <v>38</v>
      </c>
      <c r="C132" s="17" t="s">
        <v>14</v>
      </c>
      <c r="D132" s="17" t="s">
        <v>16</v>
      </c>
      <c r="E132" s="20">
        <v>23003.8</v>
      </c>
      <c r="F132" s="20">
        <v>23000</v>
      </c>
      <c r="G132" s="20">
        <v>99.9</v>
      </c>
      <c r="H132" s="27">
        <v>100</v>
      </c>
      <c r="I132" s="53"/>
      <c r="J132" s="23" t="s">
        <v>330</v>
      </c>
      <c r="K132" s="53"/>
    </row>
    <row r="133" spans="1:11" ht="18" customHeight="1" x14ac:dyDescent="0.25">
      <c r="A133" s="10"/>
      <c r="B133" s="32" t="s">
        <v>13</v>
      </c>
      <c r="C133" s="12"/>
      <c r="D133" s="12"/>
      <c r="E133" s="20">
        <v>23003.8</v>
      </c>
      <c r="F133" s="20">
        <v>23000</v>
      </c>
      <c r="G133" s="20">
        <v>99.9</v>
      </c>
      <c r="H133" s="27"/>
      <c r="I133" s="14"/>
      <c r="J133" s="14"/>
      <c r="K133" s="14"/>
    </row>
    <row r="134" spans="1:11" ht="18" customHeight="1" x14ac:dyDescent="0.25">
      <c r="A134" s="10"/>
      <c r="B134" s="28" t="s">
        <v>54</v>
      </c>
      <c r="C134" s="12"/>
      <c r="D134" s="12"/>
      <c r="E134" s="20">
        <v>23003.8</v>
      </c>
      <c r="F134" s="20">
        <v>23000</v>
      </c>
      <c r="G134" s="20">
        <v>99.9</v>
      </c>
      <c r="H134" s="13"/>
      <c r="I134" s="14"/>
      <c r="J134" s="14"/>
      <c r="K134" s="14"/>
    </row>
    <row r="135" spans="1:11" ht="18" customHeight="1" x14ac:dyDescent="0.25">
      <c r="A135" s="10"/>
      <c r="B135" s="24" t="s">
        <v>13</v>
      </c>
      <c r="C135" s="12"/>
      <c r="D135" s="12"/>
      <c r="E135" s="20">
        <v>23003.8</v>
      </c>
      <c r="F135" s="20">
        <v>23000</v>
      </c>
      <c r="G135" s="20">
        <v>99.9</v>
      </c>
      <c r="H135" s="13"/>
      <c r="I135" s="14"/>
      <c r="J135" s="14"/>
      <c r="K135" s="14"/>
    </row>
    <row r="136" spans="1:11" ht="21" customHeight="1" x14ac:dyDescent="0.25">
      <c r="A136" s="541" t="s">
        <v>354</v>
      </c>
      <c r="B136" s="541"/>
      <c r="C136" s="541"/>
      <c r="D136" s="541"/>
      <c r="E136" s="541"/>
      <c r="F136" s="541"/>
      <c r="G136" s="541"/>
      <c r="H136" s="541"/>
      <c r="I136" s="541"/>
      <c r="J136" s="541"/>
      <c r="K136" s="541"/>
    </row>
    <row r="137" spans="1:11" s="38" customFormat="1" ht="387" customHeight="1" x14ac:dyDescent="0.25">
      <c r="A137" s="10">
        <v>34</v>
      </c>
      <c r="B137" s="18" t="s">
        <v>355</v>
      </c>
      <c r="C137" s="17" t="s">
        <v>356</v>
      </c>
      <c r="D137" s="17">
        <v>2016</v>
      </c>
      <c r="E137" s="17" t="s">
        <v>18</v>
      </c>
      <c r="F137" s="20">
        <v>0</v>
      </c>
      <c r="G137" s="10"/>
      <c r="H137" s="27">
        <v>100</v>
      </c>
      <c r="I137" s="53"/>
      <c r="J137" s="18" t="s">
        <v>340</v>
      </c>
      <c r="K137" s="23" t="s">
        <v>357</v>
      </c>
    </row>
    <row r="138" spans="1:11" ht="18.75" customHeight="1" x14ac:dyDescent="0.25">
      <c r="A138" s="10"/>
      <c r="B138" s="32" t="s">
        <v>13</v>
      </c>
      <c r="C138" s="12"/>
      <c r="D138" s="12"/>
      <c r="E138" s="12"/>
      <c r="F138" s="12"/>
      <c r="G138" s="12"/>
      <c r="H138" s="13"/>
      <c r="I138" s="14"/>
      <c r="J138" s="14"/>
      <c r="K138" s="14"/>
    </row>
    <row r="139" spans="1:11" ht="18.75" customHeight="1" x14ac:dyDescent="0.25">
      <c r="A139" s="10"/>
      <c r="B139" s="28" t="s">
        <v>54</v>
      </c>
      <c r="C139" s="12"/>
      <c r="D139" s="12"/>
      <c r="E139" s="12"/>
      <c r="F139" s="12"/>
      <c r="G139" s="12"/>
      <c r="H139" s="13"/>
      <c r="I139" s="14"/>
      <c r="J139" s="14"/>
      <c r="K139" s="14"/>
    </row>
    <row r="140" spans="1:11" ht="18.75" customHeight="1" x14ac:dyDescent="0.25">
      <c r="A140" s="10"/>
      <c r="B140" s="24" t="s">
        <v>13</v>
      </c>
      <c r="C140" s="12"/>
      <c r="D140" s="12"/>
      <c r="E140" s="12"/>
      <c r="F140" s="12"/>
      <c r="G140" s="12"/>
      <c r="H140" s="13"/>
      <c r="I140" s="14"/>
      <c r="J140" s="14"/>
      <c r="K140" s="14"/>
    </row>
    <row r="141" spans="1:11" ht="19.5" customHeight="1" x14ac:dyDescent="0.25">
      <c r="A141" s="541" t="s">
        <v>25</v>
      </c>
      <c r="B141" s="541"/>
      <c r="C141" s="541"/>
      <c r="D141" s="541"/>
      <c r="E141" s="541"/>
      <c r="F141" s="541"/>
      <c r="G141" s="541"/>
      <c r="H141" s="541"/>
      <c r="I141" s="541"/>
      <c r="J141" s="541"/>
      <c r="K141" s="541"/>
    </row>
    <row r="142" spans="1:11" ht="189" customHeight="1" x14ac:dyDescent="0.25">
      <c r="A142" s="10">
        <v>35</v>
      </c>
      <c r="B142" s="18" t="s">
        <v>39</v>
      </c>
      <c r="C142" s="17" t="s">
        <v>17</v>
      </c>
      <c r="D142" s="17" t="s">
        <v>16</v>
      </c>
      <c r="E142" s="20">
        <v>50000</v>
      </c>
      <c r="F142" s="20" t="s">
        <v>358</v>
      </c>
      <c r="G142" s="20">
        <v>30.4</v>
      </c>
      <c r="H142" s="54">
        <v>30</v>
      </c>
      <c r="I142" s="14"/>
      <c r="J142" s="23" t="s">
        <v>330</v>
      </c>
      <c r="K142" s="23" t="s">
        <v>359</v>
      </c>
    </row>
    <row r="143" spans="1:11" ht="19.5" customHeight="1" x14ac:dyDescent="0.25">
      <c r="A143" s="10"/>
      <c r="B143" s="32" t="s">
        <v>19</v>
      </c>
      <c r="C143" s="12"/>
      <c r="D143" s="12"/>
      <c r="E143" s="20">
        <v>50000</v>
      </c>
      <c r="F143" s="20" t="s">
        <v>358</v>
      </c>
      <c r="G143" s="20">
        <v>30.4</v>
      </c>
      <c r="H143" s="27"/>
      <c r="I143" s="14"/>
      <c r="J143" s="14"/>
      <c r="K143" s="14"/>
    </row>
    <row r="144" spans="1:11" ht="19.5" customHeight="1" x14ac:dyDescent="0.25">
      <c r="A144" s="10"/>
      <c r="B144" s="28" t="s">
        <v>54</v>
      </c>
      <c r="C144" s="12"/>
      <c r="D144" s="12"/>
      <c r="E144" s="20">
        <v>50000</v>
      </c>
      <c r="F144" s="20" t="s">
        <v>358</v>
      </c>
      <c r="G144" s="20">
        <v>30.4</v>
      </c>
      <c r="H144" s="13"/>
      <c r="I144" s="14"/>
      <c r="J144" s="14"/>
      <c r="K144" s="14"/>
    </row>
    <row r="145" spans="1:11" ht="19.5" customHeight="1" x14ac:dyDescent="0.25">
      <c r="A145" s="10"/>
      <c r="B145" s="32" t="s">
        <v>19</v>
      </c>
      <c r="C145" s="12"/>
      <c r="D145" s="12"/>
      <c r="E145" s="20">
        <v>50000</v>
      </c>
      <c r="F145" s="20" t="str">
        <f>F143</f>
        <v>15 210,0</v>
      </c>
      <c r="G145" s="20">
        <v>30.4</v>
      </c>
      <c r="H145" s="13"/>
      <c r="I145" s="14"/>
      <c r="J145" s="14"/>
      <c r="K145" s="14"/>
    </row>
    <row r="146" spans="1:11" ht="19.5" customHeight="1" x14ac:dyDescent="0.25">
      <c r="A146" s="541" t="s">
        <v>360</v>
      </c>
      <c r="B146" s="541"/>
      <c r="C146" s="541"/>
      <c r="D146" s="541"/>
      <c r="E146" s="541"/>
      <c r="F146" s="541"/>
      <c r="G146" s="541"/>
      <c r="H146" s="541"/>
      <c r="I146" s="541"/>
      <c r="J146" s="541"/>
      <c r="K146" s="541"/>
    </row>
    <row r="147" spans="1:11" s="38" customFormat="1" ht="66.75" customHeight="1" x14ac:dyDescent="0.25">
      <c r="A147" s="10">
        <v>36</v>
      </c>
      <c r="B147" s="18" t="s">
        <v>361</v>
      </c>
      <c r="C147" s="17" t="s">
        <v>14</v>
      </c>
      <c r="D147" s="17" t="s">
        <v>362</v>
      </c>
      <c r="E147" s="20">
        <v>3000</v>
      </c>
      <c r="F147" s="45">
        <v>2988.08</v>
      </c>
      <c r="G147" s="20">
        <v>99.6</v>
      </c>
      <c r="H147" s="54">
        <v>100</v>
      </c>
      <c r="I147" s="53"/>
      <c r="J147" s="23" t="s">
        <v>363</v>
      </c>
      <c r="K147" s="53"/>
    </row>
    <row r="148" spans="1:11" ht="17.25" customHeight="1" x14ac:dyDescent="0.25">
      <c r="A148" s="10"/>
      <c r="B148" s="32" t="s">
        <v>13</v>
      </c>
      <c r="C148" s="12"/>
      <c r="D148" s="12"/>
      <c r="E148" s="20">
        <v>3000</v>
      </c>
      <c r="F148" s="45">
        <v>2988.08</v>
      </c>
      <c r="G148" s="20">
        <v>99.6</v>
      </c>
      <c r="H148" s="27"/>
      <c r="I148" s="14"/>
      <c r="J148" s="14"/>
      <c r="K148" s="14"/>
    </row>
    <row r="149" spans="1:11" s="38" customFormat="1" ht="84" customHeight="1" x14ac:dyDescent="0.25">
      <c r="A149" s="10">
        <v>37</v>
      </c>
      <c r="B149" s="18" t="s">
        <v>364</v>
      </c>
      <c r="C149" s="17" t="s">
        <v>14</v>
      </c>
      <c r="D149" s="17" t="s">
        <v>365</v>
      </c>
      <c r="E149" s="20">
        <v>2000</v>
      </c>
      <c r="F149" s="20">
        <v>1999.9</v>
      </c>
      <c r="G149" s="20">
        <v>99.9</v>
      </c>
      <c r="H149" s="54">
        <v>100</v>
      </c>
      <c r="I149" s="53"/>
      <c r="J149" s="23" t="s">
        <v>366</v>
      </c>
      <c r="K149" s="53"/>
    </row>
    <row r="150" spans="1:11" ht="17.25" customHeight="1" x14ac:dyDescent="0.25">
      <c r="A150" s="10"/>
      <c r="B150" s="32" t="s">
        <v>13</v>
      </c>
      <c r="C150" s="12"/>
      <c r="D150" s="12"/>
      <c r="E150" s="20">
        <v>2000</v>
      </c>
      <c r="F150" s="20">
        <v>1999.9</v>
      </c>
      <c r="G150" s="20">
        <v>99.9</v>
      </c>
      <c r="H150" s="13"/>
      <c r="I150" s="14"/>
      <c r="J150" s="14"/>
      <c r="K150" s="14"/>
    </row>
    <row r="151" spans="1:11" ht="17.25" customHeight="1" x14ac:dyDescent="0.25">
      <c r="A151" s="10"/>
      <c r="B151" s="28" t="s">
        <v>54</v>
      </c>
      <c r="C151" s="12"/>
      <c r="D151" s="12"/>
      <c r="E151" s="20">
        <f>E149+E147</f>
        <v>5000</v>
      </c>
      <c r="F151" s="20">
        <f>F149+F147</f>
        <v>4987.9799999999996</v>
      </c>
      <c r="G151" s="20">
        <v>99.7</v>
      </c>
      <c r="H151" s="13"/>
      <c r="I151" s="14"/>
      <c r="J151" s="14"/>
      <c r="K151" s="14"/>
    </row>
    <row r="152" spans="1:11" ht="17.25" customHeight="1" x14ac:dyDescent="0.25">
      <c r="A152" s="10"/>
      <c r="B152" s="24" t="s">
        <v>13</v>
      </c>
      <c r="C152" s="12"/>
      <c r="D152" s="12"/>
      <c r="E152" s="20">
        <f>E150+E148</f>
        <v>5000</v>
      </c>
      <c r="F152" s="20">
        <f>F150+F148</f>
        <v>4987.9799999999996</v>
      </c>
      <c r="G152" s="20">
        <v>99.7</v>
      </c>
      <c r="H152" s="13"/>
      <c r="I152" s="14"/>
      <c r="J152" s="14"/>
      <c r="K152" s="14"/>
    </row>
    <row r="153" spans="1:11" ht="17.25" customHeight="1" x14ac:dyDescent="0.25">
      <c r="A153" s="10"/>
      <c r="B153" s="31" t="s">
        <v>73</v>
      </c>
      <c r="C153" s="12"/>
      <c r="D153" s="12"/>
      <c r="E153" s="29">
        <f>E154+E155+E156</f>
        <v>601003.80000000005</v>
      </c>
      <c r="F153" s="29">
        <v>555659</v>
      </c>
      <c r="G153" s="29">
        <f>F153/E153*100</f>
        <v>92.455155857583591</v>
      </c>
      <c r="H153" s="13"/>
      <c r="I153" s="14"/>
      <c r="J153" s="14"/>
      <c r="K153" s="14"/>
    </row>
    <row r="154" spans="1:11" ht="17.25" customHeight="1" x14ac:dyDescent="0.25">
      <c r="A154" s="10"/>
      <c r="B154" s="32" t="s">
        <v>13</v>
      </c>
      <c r="C154" s="12"/>
      <c r="D154" s="12"/>
      <c r="E154" s="20">
        <f>E119+E133+E152</f>
        <v>51003.8</v>
      </c>
      <c r="F154" s="45">
        <f>F119+F133+F152</f>
        <v>50887.979999999996</v>
      </c>
      <c r="G154" s="20">
        <f t="shared" ref="G154:G155" si="6">F154/E154*100</f>
        <v>99.772918880553988</v>
      </c>
      <c r="H154" s="13"/>
      <c r="I154" s="14"/>
      <c r="J154" s="14"/>
      <c r="K154" s="14"/>
    </row>
    <row r="155" spans="1:11" ht="17.25" customHeight="1" x14ac:dyDescent="0.25">
      <c r="A155" s="10"/>
      <c r="B155" s="32" t="s">
        <v>22</v>
      </c>
      <c r="C155" s="12"/>
      <c r="D155" s="12"/>
      <c r="E155" s="20">
        <f>E125</f>
        <v>500000</v>
      </c>
      <c r="F155" s="45">
        <f>F125</f>
        <v>489561.09</v>
      </c>
      <c r="G155" s="20">
        <f t="shared" si="6"/>
        <v>97.91221800000001</v>
      </c>
      <c r="H155" s="13"/>
      <c r="I155" s="14"/>
      <c r="J155" s="14"/>
      <c r="K155" s="14"/>
    </row>
    <row r="156" spans="1:11" ht="17.25" customHeight="1" x14ac:dyDescent="0.25">
      <c r="A156" s="10"/>
      <c r="B156" s="32" t="s">
        <v>53</v>
      </c>
      <c r="C156" s="12"/>
      <c r="D156" s="12"/>
      <c r="E156" s="20">
        <f>E145</f>
        <v>50000</v>
      </c>
      <c r="F156" s="20">
        <v>15210</v>
      </c>
      <c r="G156" s="20">
        <v>30.4</v>
      </c>
      <c r="H156" s="13"/>
      <c r="I156" s="14"/>
      <c r="J156" s="14"/>
      <c r="K156" s="14"/>
    </row>
    <row r="157" spans="1:11" ht="22.5" customHeight="1" x14ac:dyDescent="0.25">
      <c r="A157" s="10"/>
      <c r="B157" s="542" t="s">
        <v>367</v>
      </c>
      <c r="C157" s="542"/>
      <c r="D157" s="542"/>
      <c r="E157" s="542"/>
      <c r="F157" s="542"/>
      <c r="G157" s="542"/>
      <c r="H157" s="542"/>
      <c r="I157" s="542"/>
      <c r="J157" s="542"/>
      <c r="K157" s="542"/>
    </row>
    <row r="158" spans="1:11" ht="24.75" customHeight="1" x14ac:dyDescent="0.25">
      <c r="A158" s="541" t="s">
        <v>145</v>
      </c>
      <c r="B158" s="541"/>
      <c r="C158" s="541"/>
      <c r="D158" s="541"/>
      <c r="E158" s="541"/>
      <c r="F158" s="541"/>
      <c r="G158" s="541"/>
      <c r="H158" s="541"/>
      <c r="I158" s="541"/>
      <c r="J158" s="541"/>
      <c r="K158" s="541"/>
    </row>
    <row r="159" spans="1:11" ht="113.25" customHeight="1" x14ac:dyDescent="0.25">
      <c r="A159" s="10">
        <v>38</v>
      </c>
      <c r="B159" s="55" t="s">
        <v>368</v>
      </c>
      <c r="C159" s="17" t="s">
        <v>14</v>
      </c>
      <c r="D159" s="17" t="s">
        <v>16</v>
      </c>
      <c r="E159" s="56">
        <v>30000</v>
      </c>
      <c r="F159" s="56">
        <v>24110.83</v>
      </c>
      <c r="G159" s="56">
        <v>80.37</v>
      </c>
      <c r="H159" s="57">
        <v>100</v>
      </c>
      <c r="I159" s="14"/>
      <c r="J159" s="23" t="s">
        <v>330</v>
      </c>
      <c r="K159" s="14"/>
    </row>
    <row r="160" spans="1:11" ht="21.75" customHeight="1" x14ac:dyDescent="0.25">
      <c r="A160" s="10"/>
      <c r="B160" s="24" t="s">
        <v>13</v>
      </c>
      <c r="C160" s="17"/>
      <c r="D160" s="17"/>
      <c r="E160" s="56">
        <v>30000</v>
      </c>
      <c r="F160" s="56">
        <v>24110.83</v>
      </c>
      <c r="G160" s="56">
        <v>80.37</v>
      </c>
      <c r="H160" s="57"/>
      <c r="I160" s="14"/>
      <c r="J160" s="14"/>
      <c r="K160" s="14"/>
    </row>
    <row r="161" spans="1:12" ht="53.25" customHeight="1" x14ac:dyDescent="0.25">
      <c r="A161" s="10">
        <v>39</v>
      </c>
      <c r="B161" s="18" t="s">
        <v>146</v>
      </c>
      <c r="C161" s="17" t="s">
        <v>14</v>
      </c>
      <c r="D161" s="17" t="s">
        <v>16</v>
      </c>
      <c r="E161" s="56">
        <v>7000</v>
      </c>
      <c r="F161" s="56">
        <v>7000</v>
      </c>
      <c r="G161" s="56">
        <f>F161/E161*100</f>
        <v>100</v>
      </c>
      <c r="H161" s="57">
        <v>100</v>
      </c>
      <c r="I161" s="17"/>
      <c r="J161" s="17"/>
      <c r="K161" s="14"/>
    </row>
    <row r="162" spans="1:12" ht="21" customHeight="1" x14ac:dyDescent="0.25">
      <c r="A162" s="10"/>
      <c r="B162" s="24" t="s">
        <v>13</v>
      </c>
      <c r="C162" s="17"/>
      <c r="D162" s="17"/>
      <c r="E162" s="56">
        <v>7000</v>
      </c>
      <c r="F162" s="56">
        <v>7000</v>
      </c>
      <c r="G162" s="56">
        <f t="shared" ref="G162:G195" si="7">F162/E162*100</f>
        <v>100</v>
      </c>
      <c r="H162" s="57"/>
      <c r="I162" s="58"/>
      <c r="J162" s="58"/>
      <c r="K162" s="14"/>
    </row>
    <row r="163" spans="1:12" ht="132.75" customHeight="1" x14ac:dyDescent="0.25">
      <c r="A163" s="10">
        <v>40</v>
      </c>
      <c r="B163" s="18" t="s">
        <v>369</v>
      </c>
      <c r="C163" s="17" t="s">
        <v>14</v>
      </c>
      <c r="D163" s="17" t="s">
        <v>370</v>
      </c>
      <c r="E163" s="56">
        <v>20000</v>
      </c>
      <c r="F163" s="56">
        <v>4338.76</v>
      </c>
      <c r="G163" s="56">
        <f t="shared" si="7"/>
        <v>21.693800000000003</v>
      </c>
      <c r="H163" s="57">
        <v>100</v>
      </c>
      <c r="I163" s="59"/>
      <c r="J163" s="23" t="s">
        <v>366</v>
      </c>
      <c r="K163" s="14"/>
    </row>
    <row r="164" spans="1:12" ht="17.25" customHeight="1" x14ac:dyDescent="0.25">
      <c r="A164" s="10"/>
      <c r="B164" s="24" t="s">
        <v>13</v>
      </c>
      <c r="C164" s="17"/>
      <c r="D164" s="17"/>
      <c r="E164" s="56">
        <v>20000</v>
      </c>
      <c r="F164" s="56">
        <v>4338.76</v>
      </c>
      <c r="G164" s="56">
        <f t="shared" si="7"/>
        <v>21.693800000000003</v>
      </c>
      <c r="H164" s="57"/>
      <c r="I164" s="17"/>
      <c r="J164" s="17"/>
      <c r="K164" s="14"/>
    </row>
    <row r="165" spans="1:12" ht="100.5" customHeight="1" x14ac:dyDescent="0.25">
      <c r="A165" s="10">
        <v>41</v>
      </c>
      <c r="B165" s="18" t="s">
        <v>371</v>
      </c>
      <c r="C165" s="17" t="s">
        <v>14</v>
      </c>
      <c r="D165" s="17">
        <v>2016</v>
      </c>
      <c r="E165" s="56">
        <v>30000</v>
      </c>
      <c r="F165" s="56">
        <v>29900</v>
      </c>
      <c r="G165" s="56">
        <f t="shared" si="7"/>
        <v>99.666666666666671</v>
      </c>
      <c r="H165" s="57">
        <v>100</v>
      </c>
      <c r="I165" s="17"/>
      <c r="J165" s="18" t="s">
        <v>340</v>
      </c>
      <c r="K165" s="14"/>
    </row>
    <row r="166" spans="1:12" ht="17.25" customHeight="1" x14ac:dyDescent="0.25">
      <c r="A166" s="10"/>
      <c r="B166" s="24" t="s">
        <v>13</v>
      </c>
      <c r="C166" s="17"/>
      <c r="D166" s="17"/>
      <c r="E166" s="56">
        <v>30000</v>
      </c>
      <c r="F166" s="56">
        <v>29900</v>
      </c>
      <c r="G166" s="56">
        <f t="shared" si="7"/>
        <v>99.666666666666671</v>
      </c>
      <c r="H166" s="57"/>
      <c r="I166" s="17"/>
      <c r="J166" s="17"/>
      <c r="K166" s="14"/>
    </row>
    <row r="167" spans="1:12" ht="67.5" customHeight="1" x14ac:dyDescent="0.25">
      <c r="A167" s="10">
        <v>42</v>
      </c>
      <c r="B167" s="18" t="s">
        <v>147</v>
      </c>
      <c r="C167" s="17" t="s">
        <v>14</v>
      </c>
      <c r="D167" s="17" t="s">
        <v>45</v>
      </c>
      <c r="E167" s="56">
        <v>20000</v>
      </c>
      <c r="F167" s="56">
        <v>20000</v>
      </c>
      <c r="G167" s="56">
        <f t="shared" si="7"/>
        <v>100</v>
      </c>
      <c r="H167" s="57">
        <v>100</v>
      </c>
      <c r="I167" s="14"/>
      <c r="J167" s="23" t="s">
        <v>372</v>
      </c>
      <c r="K167" s="14"/>
    </row>
    <row r="168" spans="1:12" ht="17.25" customHeight="1" x14ac:dyDescent="0.25">
      <c r="A168" s="10"/>
      <c r="B168" s="24" t="s">
        <v>13</v>
      </c>
      <c r="C168" s="17"/>
      <c r="D168" s="17"/>
      <c r="E168" s="56">
        <v>20000</v>
      </c>
      <c r="F168" s="56">
        <v>20000</v>
      </c>
      <c r="G168" s="56">
        <f t="shared" si="7"/>
        <v>100</v>
      </c>
      <c r="H168" s="57"/>
      <c r="I168" s="14"/>
      <c r="J168" s="14"/>
      <c r="K168" s="14"/>
    </row>
    <row r="169" spans="1:12" ht="129" customHeight="1" x14ac:dyDescent="0.25">
      <c r="A169" s="10">
        <v>43</v>
      </c>
      <c r="B169" s="18" t="s">
        <v>148</v>
      </c>
      <c r="C169" s="17" t="s">
        <v>149</v>
      </c>
      <c r="D169" s="17" t="s">
        <v>16</v>
      </c>
      <c r="E169" s="56">
        <v>26296</v>
      </c>
      <c r="F169" s="56">
        <v>24300.11</v>
      </c>
      <c r="G169" s="56">
        <f t="shared" si="7"/>
        <v>92.409910252509889</v>
      </c>
      <c r="H169" s="57">
        <v>100</v>
      </c>
      <c r="I169" s="14"/>
      <c r="J169" s="23" t="s">
        <v>330</v>
      </c>
      <c r="K169" s="529">
        <f>E169+E171+E173+E175+E177+E179+E184+E186+E188+E190+E192+E206+E208+E210+E212+E214+E216+E218+E220+E222+E224</f>
        <v>3244606.8</v>
      </c>
      <c r="L169" s="529">
        <f>F169+F171+F173+F175+F177+F179+F184+F186+F188+F190+F192+F206+F208+F210+F212+F214+F216+F218+F220+F222+F224</f>
        <v>2982030.47</v>
      </c>
    </row>
    <row r="170" spans="1:12" ht="17.25" customHeight="1" x14ac:dyDescent="0.25">
      <c r="A170" s="10"/>
      <c r="B170" s="24" t="s">
        <v>13</v>
      </c>
      <c r="C170" s="17"/>
      <c r="D170" s="17"/>
      <c r="E170" s="56">
        <v>26296</v>
      </c>
      <c r="F170" s="56">
        <v>24300.11</v>
      </c>
      <c r="G170" s="56">
        <f t="shared" si="7"/>
        <v>92.409910252509889</v>
      </c>
      <c r="H170" s="57"/>
      <c r="I170" s="14"/>
      <c r="J170" s="14"/>
      <c r="K170" s="14"/>
    </row>
    <row r="171" spans="1:12" ht="128.25" customHeight="1" x14ac:dyDescent="0.25">
      <c r="A171" s="10">
        <v>44</v>
      </c>
      <c r="B171" s="18" t="s">
        <v>150</v>
      </c>
      <c r="C171" s="17" t="s">
        <v>149</v>
      </c>
      <c r="D171" s="17" t="s">
        <v>175</v>
      </c>
      <c r="E171" s="56">
        <v>5000</v>
      </c>
      <c r="F171" s="56">
        <v>5000</v>
      </c>
      <c r="G171" s="56">
        <f t="shared" si="7"/>
        <v>100</v>
      </c>
      <c r="H171" s="57">
        <v>100</v>
      </c>
      <c r="I171" s="14"/>
      <c r="J171" s="23" t="s">
        <v>373</v>
      </c>
      <c r="K171" s="14"/>
    </row>
    <row r="172" spans="1:12" ht="17.25" customHeight="1" x14ac:dyDescent="0.25">
      <c r="A172" s="10"/>
      <c r="B172" s="24" t="s">
        <v>13</v>
      </c>
      <c r="C172" s="17"/>
      <c r="D172" s="17"/>
      <c r="E172" s="56">
        <v>5000</v>
      </c>
      <c r="F172" s="56">
        <v>5000</v>
      </c>
      <c r="G172" s="56">
        <f t="shared" si="7"/>
        <v>100</v>
      </c>
      <c r="H172" s="57"/>
      <c r="I172" s="14"/>
      <c r="J172" s="14"/>
      <c r="K172" s="14"/>
    </row>
    <row r="173" spans="1:12" ht="163.5" customHeight="1" x14ac:dyDescent="0.25">
      <c r="A173" s="10">
        <v>45</v>
      </c>
      <c r="B173" s="18" t="s">
        <v>151</v>
      </c>
      <c r="C173" s="17" t="s">
        <v>149</v>
      </c>
      <c r="D173" s="17" t="s">
        <v>16</v>
      </c>
      <c r="E173" s="56">
        <v>32000</v>
      </c>
      <c r="F173" s="56">
        <v>39653.25</v>
      </c>
      <c r="G173" s="56">
        <f t="shared" si="7"/>
        <v>123.91640624999999</v>
      </c>
      <c r="H173" s="57">
        <v>100</v>
      </c>
      <c r="I173" s="14"/>
      <c r="J173" s="23" t="s">
        <v>330</v>
      </c>
      <c r="K173" s="14"/>
    </row>
    <row r="174" spans="1:12" ht="20.25" customHeight="1" x14ac:dyDescent="0.25">
      <c r="A174" s="10"/>
      <c r="B174" s="24" t="s">
        <v>13</v>
      </c>
      <c r="C174" s="17"/>
      <c r="D174" s="17"/>
      <c r="E174" s="56">
        <v>32000</v>
      </c>
      <c r="F174" s="56">
        <v>39653.25</v>
      </c>
      <c r="G174" s="56">
        <f t="shared" si="7"/>
        <v>123.91640624999999</v>
      </c>
      <c r="H174" s="57"/>
      <c r="I174" s="14"/>
      <c r="J174" s="23"/>
      <c r="K174" s="14"/>
    </row>
    <row r="175" spans="1:12" ht="132" customHeight="1" x14ac:dyDescent="0.25">
      <c r="A175" s="10">
        <v>46</v>
      </c>
      <c r="B175" s="18" t="s">
        <v>152</v>
      </c>
      <c r="C175" s="17" t="s">
        <v>149</v>
      </c>
      <c r="D175" s="17" t="s">
        <v>16</v>
      </c>
      <c r="E175" s="56">
        <v>47989.1</v>
      </c>
      <c r="F175" s="56">
        <v>39450.89</v>
      </c>
      <c r="G175" s="56">
        <f t="shared" si="7"/>
        <v>82.208022238383307</v>
      </c>
      <c r="H175" s="57">
        <v>100</v>
      </c>
      <c r="I175" s="14"/>
      <c r="J175" s="23" t="s">
        <v>330</v>
      </c>
      <c r="K175" s="14"/>
    </row>
    <row r="176" spans="1:12" ht="17.25" customHeight="1" x14ac:dyDescent="0.25">
      <c r="A176" s="10"/>
      <c r="B176" s="24" t="s">
        <v>13</v>
      </c>
      <c r="C176" s="17"/>
      <c r="D176" s="17"/>
      <c r="E176" s="56">
        <v>47989.1</v>
      </c>
      <c r="F176" s="56">
        <v>39450.89</v>
      </c>
      <c r="G176" s="56">
        <f t="shared" si="7"/>
        <v>82.208022238383307</v>
      </c>
      <c r="H176" s="57"/>
      <c r="I176" s="14"/>
      <c r="J176" s="23"/>
      <c r="K176" s="14"/>
    </row>
    <row r="177" spans="1:11" ht="97.5" customHeight="1" x14ac:dyDescent="0.25">
      <c r="A177" s="10">
        <v>47</v>
      </c>
      <c r="B177" s="18" t="s">
        <v>153</v>
      </c>
      <c r="C177" s="17" t="s">
        <v>149</v>
      </c>
      <c r="D177" s="17" t="s">
        <v>177</v>
      </c>
      <c r="E177" s="56">
        <v>5000</v>
      </c>
      <c r="F177" s="56">
        <v>4677.8999999999996</v>
      </c>
      <c r="G177" s="56">
        <f t="shared" si="7"/>
        <v>93.557999999999993</v>
      </c>
      <c r="H177" s="57">
        <v>100</v>
      </c>
      <c r="I177" s="14"/>
      <c r="J177" s="23" t="s">
        <v>374</v>
      </c>
      <c r="K177" s="14"/>
    </row>
    <row r="178" spans="1:11" ht="17.25" customHeight="1" x14ac:dyDescent="0.25">
      <c r="A178" s="10"/>
      <c r="B178" s="24" t="s">
        <v>13</v>
      </c>
      <c r="C178" s="17"/>
      <c r="D178" s="17"/>
      <c r="E178" s="56">
        <v>5000</v>
      </c>
      <c r="F178" s="56">
        <v>4677.8999999999996</v>
      </c>
      <c r="G178" s="56">
        <f t="shared" si="7"/>
        <v>93.557999999999993</v>
      </c>
      <c r="H178" s="57"/>
      <c r="I178" s="14"/>
      <c r="J178" s="14"/>
      <c r="K178" s="14"/>
    </row>
    <row r="179" spans="1:11" ht="66.75" customHeight="1" x14ac:dyDescent="0.25">
      <c r="A179" s="10">
        <v>48</v>
      </c>
      <c r="B179" s="18" t="s">
        <v>154</v>
      </c>
      <c r="C179" s="17" t="s">
        <v>149</v>
      </c>
      <c r="D179" s="17" t="s">
        <v>16</v>
      </c>
      <c r="E179" s="56">
        <v>338000</v>
      </c>
      <c r="F179" s="56">
        <v>338000</v>
      </c>
      <c r="G179" s="56">
        <f t="shared" si="7"/>
        <v>100</v>
      </c>
      <c r="H179" s="57">
        <v>100</v>
      </c>
      <c r="I179" s="14"/>
      <c r="J179" s="23" t="s">
        <v>330</v>
      </c>
      <c r="K179" s="14"/>
    </row>
    <row r="180" spans="1:11" ht="17.25" customHeight="1" x14ac:dyDescent="0.25">
      <c r="A180" s="10"/>
      <c r="B180" s="24" t="s">
        <v>13</v>
      </c>
      <c r="C180" s="17"/>
      <c r="D180" s="17"/>
      <c r="E180" s="56">
        <v>338000</v>
      </c>
      <c r="F180" s="56">
        <v>338000</v>
      </c>
      <c r="G180" s="56">
        <f t="shared" si="7"/>
        <v>100</v>
      </c>
      <c r="H180" s="57"/>
      <c r="I180" s="14"/>
      <c r="J180" s="14"/>
      <c r="K180" s="14"/>
    </row>
    <row r="181" spans="1:11" ht="17.25" customHeight="1" x14ac:dyDescent="0.25">
      <c r="A181" s="10"/>
      <c r="B181" s="18" t="s">
        <v>155</v>
      </c>
      <c r="C181" s="10"/>
      <c r="D181" s="10"/>
      <c r="E181" s="60"/>
      <c r="F181" s="56"/>
      <c r="G181" s="56"/>
      <c r="H181" s="57"/>
      <c r="I181" s="14"/>
      <c r="J181" s="14"/>
      <c r="K181" s="14"/>
    </row>
    <row r="182" spans="1:11" ht="75" customHeight="1" x14ac:dyDescent="0.25">
      <c r="A182" s="10"/>
      <c r="B182" s="18" t="s">
        <v>156</v>
      </c>
      <c r="C182" s="17"/>
      <c r="D182" s="17"/>
      <c r="E182" s="56">
        <v>10000</v>
      </c>
      <c r="F182" s="56">
        <v>10000</v>
      </c>
      <c r="G182" s="56">
        <f t="shared" si="7"/>
        <v>100</v>
      </c>
      <c r="H182" s="57"/>
      <c r="I182" s="14"/>
      <c r="J182" s="14"/>
      <c r="K182" s="14"/>
    </row>
    <row r="183" spans="1:11" ht="101.25" customHeight="1" x14ac:dyDescent="0.25">
      <c r="A183" s="10"/>
      <c r="B183" s="18" t="s">
        <v>157</v>
      </c>
      <c r="C183" s="17"/>
      <c r="D183" s="17"/>
      <c r="E183" s="56">
        <v>328000</v>
      </c>
      <c r="F183" s="56">
        <v>328000</v>
      </c>
      <c r="G183" s="56">
        <f t="shared" si="7"/>
        <v>100</v>
      </c>
      <c r="H183" s="57"/>
      <c r="I183" s="14"/>
      <c r="J183" s="14"/>
      <c r="K183" s="14"/>
    </row>
    <row r="184" spans="1:11" ht="64.5" customHeight="1" x14ac:dyDescent="0.25">
      <c r="A184" s="10">
        <v>49</v>
      </c>
      <c r="B184" s="18" t="s">
        <v>158</v>
      </c>
      <c r="C184" s="17" t="s">
        <v>149</v>
      </c>
      <c r="D184" s="17" t="s">
        <v>57</v>
      </c>
      <c r="E184" s="56">
        <v>25000</v>
      </c>
      <c r="F184" s="56">
        <v>25000</v>
      </c>
      <c r="G184" s="56">
        <f t="shared" si="7"/>
        <v>100</v>
      </c>
      <c r="H184" s="57">
        <v>100</v>
      </c>
      <c r="I184" s="14"/>
      <c r="J184" s="23" t="s">
        <v>344</v>
      </c>
      <c r="K184" s="14"/>
    </row>
    <row r="185" spans="1:11" ht="17.25" customHeight="1" x14ac:dyDescent="0.25">
      <c r="A185" s="10"/>
      <c r="B185" s="24" t="s">
        <v>13</v>
      </c>
      <c r="C185" s="17"/>
      <c r="D185" s="17"/>
      <c r="E185" s="56">
        <v>25000</v>
      </c>
      <c r="F185" s="56">
        <v>25000</v>
      </c>
      <c r="G185" s="56">
        <f t="shared" si="7"/>
        <v>100</v>
      </c>
      <c r="H185" s="57"/>
      <c r="I185" s="14"/>
      <c r="J185" s="14"/>
      <c r="K185" s="14"/>
    </row>
    <row r="186" spans="1:11" ht="78.75" customHeight="1" x14ac:dyDescent="0.25">
      <c r="A186" s="10">
        <v>50</v>
      </c>
      <c r="B186" s="18" t="s">
        <v>159</v>
      </c>
      <c r="C186" s="17" t="s">
        <v>149</v>
      </c>
      <c r="D186" s="17" t="s">
        <v>16</v>
      </c>
      <c r="E186" s="56">
        <v>140441.9</v>
      </c>
      <c r="F186" s="56">
        <v>126078.29</v>
      </c>
      <c r="G186" s="56">
        <f t="shared" si="7"/>
        <v>89.772560752880722</v>
      </c>
      <c r="H186" s="57">
        <v>100</v>
      </c>
      <c r="I186" s="14"/>
      <c r="J186" s="23" t="s">
        <v>330</v>
      </c>
      <c r="K186" s="14"/>
    </row>
    <row r="187" spans="1:11" ht="17.25" customHeight="1" x14ac:dyDescent="0.25">
      <c r="A187" s="10"/>
      <c r="B187" s="24" t="s">
        <v>13</v>
      </c>
      <c r="C187" s="10"/>
      <c r="D187" s="17"/>
      <c r="E187" s="56">
        <v>140441.9</v>
      </c>
      <c r="F187" s="56">
        <v>126078.29</v>
      </c>
      <c r="G187" s="56">
        <f t="shared" si="7"/>
        <v>89.772560752880722</v>
      </c>
      <c r="H187" s="57"/>
      <c r="I187" s="14"/>
      <c r="J187" s="14"/>
      <c r="K187" s="14"/>
    </row>
    <row r="188" spans="1:11" ht="70.5" customHeight="1" x14ac:dyDescent="0.25">
      <c r="A188" s="10">
        <v>51</v>
      </c>
      <c r="B188" s="18" t="s">
        <v>160</v>
      </c>
      <c r="C188" s="17" t="s">
        <v>149</v>
      </c>
      <c r="D188" s="17" t="s">
        <v>16</v>
      </c>
      <c r="E188" s="56">
        <v>130000</v>
      </c>
      <c r="F188" s="56">
        <v>83164.05</v>
      </c>
      <c r="G188" s="56">
        <f t="shared" si="7"/>
        <v>63.972346153846161</v>
      </c>
      <c r="H188" s="57">
        <v>100</v>
      </c>
      <c r="I188" s="14"/>
      <c r="J188" s="23" t="s">
        <v>330</v>
      </c>
      <c r="K188" s="14"/>
    </row>
    <row r="189" spans="1:11" ht="24.75" customHeight="1" x14ac:dyDescent="0.25">
      <c r="A189" s="10"/>
      <c r="B189" s="61" t="s">
        <v>13</v>
      </c>
      <c r="C189" s="17"/>
      <c r="D189" s="17"/>
      <c r="E189" s="56">
        <v>130000</v>
      </c>
      <c r="F189" s="56">
        <v>83164.05</v>
      </c>
      <c r="G189" s="56">
        <f t="shared" si="7"/>
        <v>63.972346153846161</v>
      </c>
      <c r="H189" s="57"/>
      <c r="I189" s="14"/>
      <c r="J189" s="23"/>
      <c r="K189" s="14"/>
    </row>
    <row r="190" spans="1:11" ht="129.75" customHeight="1" x14ac:dyDescent="0.25">
      <c r="A190" s="10">
        <v>52</v>
      </c>
      <c r="B190" s="18" t="s">
        <v>161</v>
      </c>
      <c r="C190" s="17" t="s">
        <v>149</v>
      </c>
      <c r="D190" s="17" t="s">
        <v>175</v>
      </c>
      <c r="E190" s="56">
        <v>50000</v>
      </c>
      <c r="F190" s="56">
        <v>20703.669999999998</v>
      </c>
      <c r="G190" s="56">
        <f t="shared" si="7"/>
        <v>41.407339999999998</v>
      </c>
      <c r="H190" s="57">
        <v>100</v>
      </c>
      <c r="I190" s="14"/>
      <c r="J190" s="23" t="s">
        <v>373</v>
      </c>
      <c r="K190" s="14"/>
    </row>
    <row r="191" spans="1:11" ht="17.25" customHeight="1" x14ac:dyDescent="0.25">
      <c r="A191" s="10"/>
      <c r="B191" s="24" t="s">
        <v>13</v>
      </c>
      <c r="C191" s="17"/>
      <c r="D191" s="17"/>
      <c r="E191" s="56">
        <v>50000</v>
      </c>
      <c r="F191" s="56">
        <v>20703.669999999998</v>
      </c>
      <c r="G191" s="56">
        <f t="shared" si="7"/>
        <v>41.407339999999998</v>
      </c>
      <c r="H191" s="57"/>
      <c r="I191" s="14"/>
      <c r="J191" s="14"/>
      <c r="K191" s="14"/>
    </row>
    <row r="192" spans="1:11" ht="145.5" customHeight="1" x14ac:dyDescent="0.25">
      <c r="A192" s="10">
        <v>53</v>
      </c>
      <c r="B192" s="18" t="s">
        <v>162</v>
      </c>
      <c r="C192" s="17" t="s">
        <v>149</v>
      </c>
      <c r="D192" s="17" t="s">
        <v>16</v>
      </c>
      <c r="E192" s="56">
        <v>529000</v>
      </c>
      <c r="F192" s="56">
        <v>439831.03999999998</v>
      </c>
      <c r="G192" s="56">
        <f t="shared" si="7"/>
        <v>83.143863894139884</v>
      </c>
      <c r="H192" s="57">
        <v>100</v>
      </c>
      <c r="I192" s="14"/>
      <c r="J192" s="23" t="s">
        <v>330</v>
      </c>
      <c r="K192" s="14"/>
    </row>
    <row r="193" spans="1:11" ht="17.25" customHeight="1" x14ac:dyDescent="0.25">
      <c r="A193" s="10"/>
      <c r="B193" s="24" t="s">
        <v>13</v>
      </c>
      <c r="C193" s="17"/>
      <c r="D193" s="17"/>
      <c r="E193" s="56">
        <v>529000</v>
      </c>
      <c r="F193" s="56">
        <v>439831.03999999998</v>
      </c>
      <c r="G193" s="56">
        <f t="shared" si="7"/>
        <v>83.143863894139884</v>
      </c>
      <c r="H193" s="57"/>
      <c r="I193" s="14"/>
      <c r="J193" s="14"/>
      <c r="K193" s="14"/>
    </row>
    <row r="194" spans="1:11" ht="17.25" customHeight="1" x14ac:dyDescent="0.25">
      <c r="A194" s="10"/>
      <c r="B194" s="18" t="s">
        <v>163</v>
      </c>
      <c r="C194" s="17"/>
      <c r="D194" s="17"/>
      <c r="E194" s="56"/>
      <c r="F194" s="56"/>
      <c r="G194" s="56"/>
      <c r="H194" s="57"/>
      <c r="I194" s="14"/>
      <c r="J194" s="14"/>
      <c r="K194" s="14"/>
    </row>
    <row r="195" spans="1:11" ht="17.25" customHeight="1" x14ac:dyDescent="0.25">
      <c r="A195" s="10"/>
      <c r="B195" s="18" t="s">
        <v>164</v>
      </c>
      <c r="C195" s="10"/>
      <c r="D195" s="10"/>
      <c r="E195" s="56">
        <v>91000</v>
      </c>
      <c r="F195" s="56">
        <v>41483.56</v>
      </c>
      <c r="G195" s="56">
        <f t="shared" si="7"/>
        <v>45.586329670329668</v>
      </c>
      <c r="H195" s="57"/>
      <c r="I195" s="14"/>
      <c r="J195" s="14"/>
      <c r="K195" s="14"/>
    </row>
    <row r="196" spans="1:11" ht="17.25" customHeight="1" x14ac:dyDescent="0.25">
      <c r="A196" s="10"/>
      <c r="B196" s="18" t="s">
        <v>155</v>
      </c>
      <c r="C196" s="17"/>
      <c r="D196" s="17"/>
      <c r="E196" s="56"/>
      <c r="F196" s="56"/>
      <c r="G196" s="56"/>
      <c r="H196" s="57"/>
      <c r="I196" s="14"/>
      <c r="J196" s="14"/>
      <c r="K196" s="14"/>
    </row>
    <row r="197" spans="1:11" ht="51" customHeight="1" x14ac:dyDescent="0.25">
      <c r="A197" s="10"/>
      <c r="B197" s="18" t="s">
        <v>165</v>
      </c>
      <c r="C197" s="62"/>
      <c r="D197" s="62"/>
      <c r="E197" s="56">
        <v>91000</v>
      </c>
      <c r="F197" s="56">
        <v>41483.56</v>
      </c>
      <c r="G197" s="56">
        <f t="shared" ref="G197:G229" si="8">F197/E197*100</f>
        <v>45.586329670329668</v>
      </c>
      <c r="H197" s="57"/>
      <c r="I197" s="14"/>
      <c r="J197" s="14"/>
      <c r="K197" s="14"/>
    </row>
    <row r="198" spans="1:11" ht="17.25" customHeight="1" x14ac:dyDescent="0.25">
      <c r="A198" s="10"/>
      <c r="B198" s="18" t="s">
        <v>166</v>
      </c>
      <c r="C198" s="62"/>
      <c r="D198" s="62"/>
      <c r="E198" s="56">
        <v>263000</v>
      </c>
      <c r="F198" s="56">
        <v>237662.73</v>
      </c>
      <c r="G198" s="56">
        <f t="shared" si="8"/>
        <v>90.366057034220532</v>
      </c>
      <c r="H198" s="57"/>
      <c r="I198" s="14"/>
      <c r="J198" s="14"/>
      <c r="K198" s="14"/>
    </row>
    <row r="199" spans="1:11" ht="17.25" customHeight="1" x14ac:dyDescent="0.25">
      <c r="A199" s="10"/>
      <c r="B199" s="18" t="s">
        <v>155</v>
      </c>
      <c r="C199" s="62"/>
      <c r="D199" s="62"/>
      <c r="E199" s="56"/>
      <c r="F199" s="56"/>
      <c r="G199" s="56"/>
      <c r="H199" s="57"/>
      <c r="I199" s="14"/>
      <c r="J199" s="14"/>
      <c r="K199" s="14"/>
    </row>
    <row r="200" spans="1:11" ht="50.25" customHeight="1" x14ac:dyDescent="0.25">
      <c r="A200" s="10"/>
      <c r="B200" s="18" t="s">
        <v>167</v>
      </c>
      <c r="C200" s="62"/>
      <c r="D200" s="62"/>
      <c r="E200" s="56">
        <v>100000</v>
      </c>
      <c r="F200" s="56">
        <v>51521.05</v>
      </c>
      <c r="G200" s="56">
        <f t="shared" si="8"/>
        <v>51.521050000000002</v>
      </c>
      <c r="H200" s="57"/>
      <c r="I200" s="14"/>
      <c r="J200" s="14"/>
      <c r="K200" s="14"/>
    </row>
    <row r="201" spans="1:11" ht="72.75" customHeight="1" x14ac:dyDescent="0.25">
      <c r="A201" s="10"/>
      <c r="B201" s="18" t="s">
        <v>168</v>
      </c>
      <c r="C201" s="62"/>
      <c r="D201" s="62"/>
      <c r="E201" s="56">
        <v>163000</v>
      </c>
      <c r="F201" s="56">
        <v>186141.68</v>
      </c>
      <c r="G201" s="56">
        <f t="shared" si="8"/>
        <v>114.19734969325152</v>
      </c>
      <c r="H201" s="57"/>
      <c r="I201" s="14"/>
      <c r="J201" s="14"/>
      <c r="K201" s="14"/>
    </row>
    <row r="202" spans="1:11" ht="19.5" customHeight="1" x14ac:dyDescent="0.25">
      <c r="A202" s="10"/>
      <c r="B202" s="18" t="s">
        <v>169</v>
      </c>
      <c r="C202" s="17"/>
      <c r="D202" s="17"/>
      <c r="E202" s="56">
        <v>100000</v>
      </c>
      <c r="F202" s="56">
        <v>85684.75</v>
      </c>
      <c r="G202" s="56">
        <f t="shared" si="8"/>
        <v>85.684749999999994</v>
      </c>
      <c r="H202" s="57"/>
      <c r="I202" s="14"/>
      <c r="J202" s="14"/>
      <c r="K202" s="14"/>
    </row>
    <row r="203" spans="1:11" ht="56.25" customHeight="1" x14ac:dyDescent="0.25">
      <c r="A203" s="10"/>
      <c r="B203" s="18" t="s">
        <v>170</v>
      </c>
      <c r="C203" s="10"/>
      <c r="D203" s="10"/>
      <c r="E203" s="56">
        <v>100000</v>
      </c>
      <c r="F203" s="56">
        <v>85684.75</v>
      </c>
      <c r="G203" s="56">
        <f t="shared" si="8"/>
        <v>85.684749999999994</v>
      </c>
      <c r="H203" s="57"/>
      <c r="I203" s="14"/>
      <c r="J203" s="14"/>
      <c r="K203" s="14"/>
    </row>
    <row r="204" spans="1:11" ht="18.75" customHeight="1" x14ac:dyDescent="0.25">
      <c r="A204" s="10"/>
      <c r="B204" s="18" t="s">
        <v>171</v>
      </c>
      <c r="C204" s="10"/>
      <c r="D204" s="10"/>
      <c r="E204" s="56">
        <v>75000</v>
      </c>
      <c r="F204" s="56">
        <v>75000</v>
      </c>
      <c r="G204" s="56">
        <f t="shared" si="8"/>
        <v>100</v>
      </c>
      <c r="H204" s="57"/>
      <c r="I204" s="14"/>
      <c r="J204" s="14"/>
      <c r="K204" s="14"/>
    </row>
    <row r="205" spans="1:11" ht="72" customHeight="1" x14ac:dyDescent="0.25">
      <c r="A205" s="10"/>
      <c r="B205" s="18" t="s">
        <v>172</v>
      </c>
      <c r="C205" s="62"/>
      <c r="D205" s="62"/>
      <c r="E205" s="56">
        <v>75000</v>
      </c>
      <c r="F205" s="56">
        <v>75000</v>
      </c>
      <c r="G205" s="56">
        <f t="shared" si="8"/>
        <v>100</v>
      </c>
      <c r="H205" s="57"/>
      <c r="I205" s="14"/>
      <c r="J205" s="14"/>
      <c r="K205" s="14"/>
    </row>
    <row r="206" spans="1:11" ht="199.5" customHeight="1" x14ac:dyDescent="0.25">
      <c r="A206" s="10">
        <v>54</v>
      </c>
      <c r="B206" s="18" t="s">
        <v>173</v>
      </c>
      <c r="C206" s="17" t="s">
        <v>149</v>
      </c>
      <c r="D206" s="17" t="s">
        <v>16</v>
      </c>
      <c r="E206" s="56">
        <v>30000</v>
      </c>
      <c r="F206" s="56">
        <v>0</v>
      </c>
      <c r="G206" s="56">
        <f t="shared" si="8"/>
        <v>0</v>
      </c>
      <c r="H206" s="57">
        <v>0</v>
      </c>
      <c r="I206" s="18" t="s">
        <v>375</v>
      </c>
      <c r="J206" s="23" t="s">
        <v>330</v>
      </c>
      <c r="K206" s="18" t="s">
        <v>376</v>
      </c>
    </row>
    <row r="207" spans="1:11" ht="17.25" customHeight="1" x14ac:dyDescent="0.25">
      <c r="A207" s="10"/>
      <c r="B207" s="26" t="s">
        <v>13</v>
      </c>
      <c r="C207" s="17"/>
      <c r="D207" s="17"/>
      <c r="E207" s="56">
        <v>30000</v>
      </c>
      <c r="F207" s="56">
        <v>0</v>
      </c>
      <c r="G207" s="56">
        <f t="shared" si="8"/>
        <v>0</v>
      </c>
      <c r="H207" s="57"/>
      <c r="I207" s="53"/>
      <c r="J207" s="14"/>
      <c r="K207" s="14"/>
    </row>
    <row r="208" spans="1:11" ht="104.25" customHeight="1" x14ac:dyDescent="0.25">
      <c r="A208" s="63">
        <v>55</v>
      </c>
      <c r="B208" s="64" t="s">
        <v>377</v>
      </c>
      <c r="C208" s="19" t="s">
        <v>149</v>
      </c>
      <c r="D208" s="19">
        <v>2016</v>
      </c>
      <c r="E208" s="65">
        <v>9000</v>
      </c>
      <c r="F208" s="65">
        <v>9000</v>
      </c>
      <c r="G208" s="65">
        <f t="shared" si="8"/>
        <v>100</v>
      </c>
      <c r="H208" s="66">
        <v>100</v>
      </c>
      <c r="I208" s="53"/>
      <c r="J208" s="37" t="s">
        <v>340</v>
      </c>
      <c r="K208" s="14"/>
    </row>
    <row r="209" spans="1:11" ht="17.25" customHeight="1" x14ac:dyDescent="0.25">
      <c r="A209" s="10"/>
      <c r="B209" s="26" t="s">
        <v>13</v>
      </c>
      <c r="C209" s="17"/>
      <c r="D209" s="17"/>
      <c r="E209" s="56">
        <v>9000</v>
      </c>
      <c r="F209" s="56">
        <v>9000</v>
      </c>
      <c r="G209" s="56">
        <f t="shared" si="8"/>
        <v>100</v>
      </c>
      <c r="H209" s="57"/>
      <c r="I209" s="53"/>
      <c r="J209" s="14"/>
      <c r="K209" s="14"/>
    </row>
    <row r="210" spans="1:11" ht="84" customHeight="1" x14ac:dyDescent="0.25">
      <c r="A210" s="10">
        <v>56</v>
      </c>
      <c r="B210" s="18" t="s">
        <v>174</v>
      </c>
      <c r="C210" s="62" t="s">
        <v>149</v>
      </c>
      <c r="D210" s="17" t="s">
        <v>57</v>
      </c>
      <c r="E210" s="56">
        <v>10000</v>
      </c>
      <c r="F210" s="56">
        <v>10000</v>
      </c>
      <c r="G210" s="56">
        <f t="shared" si="8"/>
        <v>100</v>
      </c>
      <c r="H210" s="57">
        <v>100</v>
      </c>
      <c r="I210" s="53"/>
      <c r="J210" s="23" t="s">
        <v>344</v>
      </c>
      <c r="K210" s="14"/>
    </row>
    <row r="211" spans="1:11" ht="17.25" customHeight="1" x14ac:dyDescent="0.25">
      <c r="A211" s="10"/>
      <c r="B211" s="24" t="s">
        <v>13</v>
      </c>
      <c r="C211" s="62"/>
      <c r="D211" s="17"/>
      <c r="E211" s="56">
        <v>10000</v>
      </c>
      <c r="F211" s="56">
        <v>10000</v>
      </c>
      <c r="G211" s="56">
        <f t="shared" si="8"/>
        <v>100</v>
      </c>
      <c r="H211" s="57"/>
      <c r="I211" s="53"/>
      <c r="J211" s="14"/>
      <c r="K211" s="14"/>
    </row>
    <row r="212" spans="1:11" ht="81.75" customHeight="1" x14ac:dyDescent="0.25">
      <c r="A212" s="10">
        <v>57</v>
      </c>
      <c r="B212" s="18" t="s">
        <v>178</v>
      </c>
      <c r="C212" s="62" t="s">
        <v>149</v>
      </c>
      <c r="D212" s="17" t="s">
        <v>16</v>
      </c>
      <c r="E212" s="56">
        <v>15000</v>
      </c>
      <c r="F212" s="56">
        <v>12748.88</v>
      </c>
      <c r="G212" s="56">
        <f t="shared" si="8"/>
        <v>84.992533333333327</v>
      </c>
      <c r="H212" s="57">
        <v>100</v>
      </c>
      <c r="I212" s="14"/>
      <c r="J212" s="23" t="s">
        <v>330</v>
      </c>
      <c r="K212" s="14"/>
    </row>
    <row r="213" spans="1:11" ht="17.25" customHeight="1" x14ac:dyDescent="0.25">
      <c r="A213" s="10"/>
      <c r="B213" s="24" t="s">
        <v>13</v>
      </c>
      <c r="C213" s="62"/>
      <c r="D213" s="17"/>
      <c r="E213" s="56">
        <v>15000</v>
      </c>
      <c r="F213" s="56">
        <v>12748.88</v>
      </c>
      <c r="G213" s="56">
        <f t="shared" si="8"/>
        <v>84.992533333333327</v>
      </c>
      <c r="H213" s="57"/>
      <c r="I213" s="14"/>
      <c r="J213" s="14"/>
      <c r="K213" s="14"/>
    </row>
    <row r="214" spans="1:11" ht="50.25" customHeight="1" x14ac:dyDescent="0.25">
      <c r="A214" s="10">
        <v>58</v>
      </c>
      <c r="B214" s="18" t="s">
        <v>179</v>
      </c>
      <c r="C214" s="62" t="s">
        <v>149</v>
      </c>
      <c r="D214" s="17" t="s">
        <v>16</v>
      </c>
      <c r="E214" s="56">
        <v>4000</v>
      </c>
      <c r="F214" s="56">
        <v>3816.3</v>
      </c>
      <c r="G214" s="56">
        <f t="shared" si="8"/>
        <v>95.407499999999999</v>
      </c>
      <c r="H214" s="57">
        <v>100</v>
      </c>
      <c r="I214" s="14"/>
      <c r="J214" s="23" t="s">
        <v>330</v>
      </c>
      <c r="K214" s="14"/>
    </row>
    <row r="215" spans="1:11" ht="17.25" customHeight="1" x14ac:dyDescent="0.25">
      <c r="A215" s="10"/>
      <c r="B215" s="61" t="s">
        <v>13</v>
      </c>
      <c r="C215" s="62"/>
      <c r="D215" s="17"/>
      <c r="E215" s="56">
        <v>4000</v>
      </c>
      <c r="F215" s="56">
        <v>3816.3</v>
      </c>
      <c r="G215" s="56">
        <f t="shared" si="8"/>
        <v>95.407499999999999</v>
      </c>
      <c r="H215" s="57"/>
      <c r="I215" s="14"/>
      <c r="J215" s="14"/>
      <c r="K215" s="14"/>
    </row>
    <row r="216" spans="1:11" ht="129.75" customHeight="1" x14ac:dyDescent="0.25">
      <c r="A216" s="10">
        <v>59</v>
      </c>
      <c r="B216" s="18" t="s">
        <v>180</v>
      </c>
      <c r="C216" s="62" t="s">
        <v>149</v>
      </c>
      <c r="D216" s="17" t="s">
        <v>16</v>
      </c>
      <c r="E216" s="56">
        <v>16500</v>
      </c>
      <c r="F216" s="56">
        <v>17470.29</v>
      </c>
      <c r="G216" s="56">
        <f t="shared" si="8"/>
        <v>105.88054545454546</v>
      </c>
      <c r="H216" s="57">
        <v>100</v>
      </c>
      <c r="I216" s="14"/>
      <c r="J216" s="23" t="s">
        <v>330</v>
      </c>
      <c r="K216" s="14"/>
    </row>
    <row r="217" spans="1:11" ht="17.25" customHeight="1" x14ac:dyDescent="0.25">
      <c r="A217" s="10"/>
      <c r="B217" s="61" t="s">
        <v>13</v>
      </c>
      <c r="C217" s="62"/>
      <c r="D217" s="17"/>
      <c r="E217" s="56">
        <v>16500</v>
      </c>
      <c r="F217" s="56">
        <v>17470.29</v>
      </c>
      <c r="G217" s="56">
        <f t="shared" si="8"/>
        <v>105.88054545454546</v>
      </c>
      <c r="H217" s="57"/>
      <c r="I217" s="14"/>
      <c r="J217" s="14"/>
      <c r="K217" s="14"/>
    </row>
    <row r="218" spans="1:11" ht="117.75" customHeight="1" x14ac:dyDescent="0.25">
      <c r="A218" s="10">
        <v>60</v>
      </c>
      <c r="B218" s="55" t="s">
        <v>181</v>
      </c>
      <c r="C218" s="62" t="s">
        <v>149</v>
      </c>
      <c r="D218" s="17" t="s">
        <v>16</v>
      </c>
      <c r="E218" s="56">
        <v>10000</v>
      </c>
      <c r="F218" s="56">
        <v>10000</v>
      </c>
      <c r="G218" s="56">
        <f t="shared" si="8"/>
        <v>100</v>
      </c>
      <c r="H218" s="57">
        <v>100</v>
      </c>
      <c r="I218" s="14"/>
      <c r="J218" s="23" t="s">
        <v>330</v>
      </c>
      <c r="K218" s="14"/>
    </row>
    <row r="219" spans="1:11" ht="17.25" customHeight="1" x14ac:dyDescent="0.25">
      <c r="A219" s="10"/>
      <c r="B219" s="61" t="s">
        <v>13</v>
      </c>
      <c r="C219" s="62"/>
      <c r="D219" s="17"/>
      <c r="E219" s="56">
        <v>10000</v>
      </c>
      <c r="F219" s="56">
        <v>10000</v>
      </c>
      <c r="G219" s="56">
        <f t="shared" si="8"/>
        <v>100</v>
      </c>
      <c r="H219" s="57"/>
      <c r="I219" s="14"/>
      <c r="J219" s="14"/>
      <c r="K219" s="14"/>
    </row>
    <row r="220" spans="1:11" ht="99.75" customHeight="1" x14ac:dyDescent="0.25">
      <c r="A220" s="10">
        <v>61</v>
      </c>
      <c r="B220" s="55" t="s">
        <v>182</v>
      </c>
      <c r="C220" s="62" t="s">
        <v>149</v>
      </c>
      <c r="D220" s="17" t="s">
        <v>16</v>
      </c>
      <c r="E220" s="56">
        <v>40000</v>
      </c>
      <c r="F220" s="56">
        <v>30000</v>
      </c>
      <c r="G220" s="56">
        <f t="shared" si="8"/>
        <v>75</v>
      </c>
      <c r="H220" s="57">
        <v>100</v>
      </c>
      <c r="I220" s="14"/>
      <c r="J220" s="23" t="s">
        <v>330</v>
      </c>
      <c r="K220" s="14"/>
    </row>
    <row r="221" spans="1:11" ht="17.25" customHeight="1" x14ac:dyDescent="0.25">
      <c r="A221" s="10"/>
      <c r="B221" s="61" t="s">
        <v>13</v>
      </c>
      <c r="C221" s="62"/>
      <c r="D221" s="17"/>
      <c r="E221" s="56">
        <v>40000</v>
      </c>
      <c r="F221" s="56">
        <v>30000</v>
      </c>
      <c r="G221" s="56">
        <f t="shared" si="8"/>
        <v>75</v>
      </c>
      <c r="H221" s="57"/>
      <c r="I221" s="14"/>
      <c r="J221" s="14"/>
      <c r="K221" s="14"/>
    </row>
    <row r="222" spans="1:11" ht="111.75" customHeight="1" x14ac:dyDescent="0.25">
      <c r="A222" s="10">
        <v>62</v>
      </c>
      <c r="B222" s="55" t="s">
        <v>183</v>
      </c>
      <c r="C222" s="62" t="s">
        <v>149</v>
      </c>
      <c r="D222" s="17" t="s">
        <v>57</v>
      </c>
      <c r="E222" s="56">
        <v>35000</v>
      </c>
      <c r="F222" s="56">
        <v>35000</v>
      </c>
      <c r="G222" s="56">
        <f t="shared" si="8"/>
        <v>100</v>
      </c>
      <c r="H222" s="57">
        <v>100</v>
      </c>
      <c r="I222" s="14"/>
      <c r="J222" s="23" t="s">
        <v>344</v>
      </c>
      <c r="K222" s="14"/>
    </row>
    <row r="223" spans="1:11" ht="17.25" customHeight="1" x14ac:dyDescent="0.25">
      <c r="A223" s="10"/>
      <c r="B223" s="61" t="s">
        <v>13</v>
      </c>
      <c r="C223" s="62"/>
      <c r="D223" s="62"/>
      <c r="E223" s="56">
        <v>35000</v>
      </c>
      <c r="F223" s="56">
        <v>35000</v>
      </c>
      <c r="G223" s="56">
        <f t="shared" si="8"/>
        <v>100</v>
      </c>
      <c r="H223" s="57"/>
      <c r="I223" s="14"/>
      <c r="J223" s="14"/>
      <c r="K223" s="14"/>
    </row>
    <row r="224" spans="1:11" ht="130.5" customHeight="1" x14ac:dyDescent="0.25">
      <c r="A224" s="10">
        <v>63</v>
      </c>
      <c r="B224" s="55" t="s">
        <v>184</v>
      </c>
      <c r="C224" s="62" t="s">
        <v>149</v>
      </c>
      <c r="D224" s="17" t="s">
        <v>16</v>
      </c>
      <c r="E224" s="56">
        <v>1746379.8</v>
      </c>
      <c r="F224" s="56">
        <v>1708135.8</v>
      </c>
      <c r="G224" s="56">
        <f t="shared" si="8"/>
        <v>97.810098353176102</v>
      </c>
      <c r="H224" s="57">
        <v>100</v>
      </c>
      <c r="I224" s="14"/>
      <c r="J224" s="23" t="s">
        <v>330</v>
      </c>
      <c r="K224" s="14"/>
    </row>
    <row r="225" spans="1:11" ht="17.25" customHeight="1" x14ac:dyDescent="0.25">
      <c r="A225" s="10"/>
      <c r="B225" s="61" t="s">
        <v>13</v>
      </c>
      <c r="C225" s="62"/>
      <c r="D225" s="17"/>
      <c r="E225" s="56">
        <v>1746379.8</v>
      </c>
      <c r="F225" s="56">
        <v>1708135.8</v>
      </c>
      <c r="G225" s="56">
        <f t="shared" si="8"/>
        <v>97.810098353176102</v>
      </c>
      <c r="H225" s="57"/>
      <c r="I225" s="14"/>
      <c r="J225" s="14"/>
      <c r="K225" s="14"/>
    </row>
    <row r="226" spans="1:11" ht="103.5" customHeight="1" x14ac:dyDescent="0.25">
      <c r="A226" s="10">
        <v>64</v>
      </c>
      <c r="B226" s="55" t="s">
        <v>378</v>
      </c>
      <c r="C226" s="62" t="s">
        <v>379</v>
      </c>
      <c r="D226" s="17">
        <v>2016</v>
      </c>
      <c r="E226" s="56">
        <v>5000</v>
      </c>
      <c r="F226" s="56">
        <v>5000</v>
      </c>
      <c r="G226" s="56">
        <f t="shared" si="8"/>
        <v>100</v>
      </c>
      <c r="H226" s="57">
        <v>100</v>
      </c>
      <c r="I226" s="48"/>
      <c r="J226" s="37" t="s">
        <v>380</v>
      </c>
      <c r="K226" s="14"/>
    </row>
    <row r="227" spans="1:11" ht="17.25" customHeight="1" x14ac:dyDescent="0.25">
      <c r="A227" s="10"/>
      <c r="B227" s="61" t="s">
        <v>13</v>
      </c>
      <c r="C227" s="62"/>
      <c r="D227" s="17"/>
      <c r="E227" s="56">
        <v>5000</v>
      </c>
      <c r="F227" s="56">
        <v>5000</v>
      </c>
      <c r="G227" s="56">
        <f t="shared" si="8"/>
        <v>100</v>
      </c>
      <c r="H227" s="57"/>
      <c r="I227" s="48"/>
      <c r="J227" s="14"/>
      <c r="K227" s="14"/>
    </row>
    <row r="228" spans="1:11" ht="50.25" customHeight="1" x14ac:dyDescent="0.25">
      <c r="A228" s="10">
        <v>65</v>
      </c>
      <c r="B228" s="55" t="s">
        <v>185</v>
      </c>
      <c r="C228" s="62" t="s">
        <v>48</v>
      </c>
      <c r="D228" s="17" t="s">
        <v>16</v>
      </c>
      <c r="E228" s="56">
        <v>130826</v>
      </c>
      <c r="F228" s="56">
        <v>115430.5</v>
      </c>
      <c r="G228" s="56">
        <f t="shared" si="8"/>
        <v>88.232079250301936</v>
      </c>
      <c r="H228" s="57">
        <v>100</v>
      </c>
      <c r="I228" s="55"/>
      <c r="J228" s="14"/>
      <c r="K228" s="14"/>
    </row>
    <row r="229" spans="1:11" ht="17.25" customHeight="1" x14ac:dyDescent="0.25">
      <c r="A229" s="10"/>
      <c r="B229" s="61" t="s">
        <v>13</v>
      </c>
      <c r="C229" s="62"/>
      <c r="D229" s="17"/>
      <c r="E229" s="56">
        <v>130826</v>
      </c>
      <c r="F229" s="56">
        <v>115430.5</v>
      </c>
      <c r="G229" s="56">
        <f t="shared" si="8"/>
        <v>88.232079250301936</v>
      </c>
      <c r="H229" s="57"/>
      <c r="I229" s="48"/>
      <c r="J229" s="14"/>
      <c r="K229" s="14"/>
    </row>
    <row r="230" spans="1:11" ht="100.5" customHeight="1" x14ac:dyDescent="0.25">
      <c r="A230" s="10">
        <v>66</v>
      </c>
      <c r="B230" s="55" t="s">
        <v>381</v>
      </c>
      <c r="C230" s="62" t="s">
        <v>186</v>
      </c>
      <c r="D230" s="17" t="s">
        <v>45</v>
      </c>
      <c r="E230" s="56">
        <v>0</v>
      </c>
      <c r="F230" s="56">
        <v>0</v>
      </c>
      <c r="G230" s="56"/>
      <c r="H230" s="57">
        <v>100</v>
      </c>
      <c r="I230" s="55"/>
      <c r="J230" s="37" t="s">
        <v>380</v>
      </c>
      <c r="K230" s="55"/>
    </row>
    <row r="231" spans="1:11" ht="99" customHeight="1" x14ac:dyDescent="0.25">
      <c r="A231" s="10">
        <v>67</v>
      </c>
      <c r="B231" s="55" t="s">
        <v>187</v>
      </c>
      <c r="C231" s="62" t="s">
        <v>186</v>
      </c>
      <c r="D231" s="17" t="s">
        <v>177</v>
      </c>
      <c r="E231" s="56">
        <v>2500</v>
      </c>
      <c r="F231" s="56">
        <v>2500</v>
      </c>
      <c r="G231" s="56">
        <f t="shared" ref="G231:G238" si="9">F231/E231*100</f>
        <v>100</v>
      </c>
      <c r="H231" s="57">
        <v>100</v>
      </c>
      <c r="I231" s="14"/>
      <c r="J231" s="23" t="s">
        <v>382</v>
      </c>
      <c r="K231" s="14"/>
    </row>
    <row r="232" spans="1:11" ht="17.25" customHeight="1" x14ac:dyDescent="0.25">
      <c r="A232" s="10"/>
      <c r="B232" s="61" t="s">
        <v>22</v>
      </c>
      <c r="C232" s="62"/>
      <c r="D232" s="17"/>
      <c r="E232" s="56">
        <v>2500</v>
      </c>
      <c r="F232" s="56">
        <v>2500</v>
      </c>
      <c r="G232" s="56">
        <f t="shared" si="9"/>
        <v>100</v>
      </c>
      <c r="H232" s="57"/>
      <c r="I232" s="14"/>
      <c r="J232" s="23"/>
      <c r="K232" s="14"/>
    </row>
    <row r="233" spans="1:11" ht="129.75" customHeight="1" x14ac:dyDescent="0.25">
      <c r="A233" s="10">
        <v>68</v>
      </c>
      <c r="B233" s="55" t="s">
        <v>188</v>
      </c>
      <c r="C233" s="62" t="s">
        <v>186</v>
      </c>
      <c r="D233" s="17" t="s">
        <v>16</v>
      </c>
      <c r="E233" s="56">
        <v>2500</v>
      </c>
      <c r="F233" s="56">
        <v>2500</v>
      </c>
      <c r="G233" s="56">
        <f t="shared" si="9"/>
        <v>100</v>
      </c>
      <c r="H233" s="57">
        <v>100</v>
      </c>
      <c r="I233" s="14"/>
      <c r="J233" s="23" t="s">
        <v>330</v>
      </c>
      <c r="K233" s="14"/>
    </row>
    <row r="234" spans="1:11" ht="17.25" customHeight="1" x14ac:dyDescent="0.25">
      <c r="A234" s="10"/>
      <c r="B234" s="61" t="s">
        <v>22</v>
      </c>
      <c r="C234" s="62"/>
      <c r="D234" s="62"/>
      <c r="E234" s="56">
        <v>2500</v>
      </c>
      <c r="F234" s="56">
        <v>2500</v>
      </c>
      <c r="G234" s="56">
        <f t="shared" si="9"/>
        <v>100</v>
      </c>
      <c r="H234" s="57"/>
      <c r="I234" s="14"/>
      <c r="J234" s="14"/>
      <c r="K234" s="14"/>
    </row>
    <row r="235" spans="1:11" ht="84.75" customHeight="1" x14ac:dyDescent="0.25">
      <c r="A235" s="10">
        <v>69</v>
      </c>
      <c r="B235" s="55" t="s">
        <v>189</v>
      </c>
      <c r="C235" s="62" t="s">
        <v>186</v>
      </c>
      <c r="D235" s="17" t="s">
        <v>16</v>
      </c>
      <c r="E235" s="56">
        <v>3000</v>
      </c>
      <c r="F235" s="56">
        <v>2997</v>
      </c>
      <c r="G235" s="56">
        <f t="shared" si="9"/>
        <v>99.9</v>
      </c>
      <c r="H235" s="57">
        <v>100</v>
      </c>
      <c r="I235" s="14"/>
      <c r="J235" s="23" t="s">
        <v>330</v>
      </c>
      <c r="K235" s="14"/>
    </row>
    <row r="236" spans="1:11" ht="17.25" customHeight="1" x14ac:dyDescent="0.25">
      <c r="A236" s="10"/>
      <c r="B236" s="61" t="s">
        <v>22</v>
      </c>
      <c r="C236" s="62"/>
      <c r="D236" s="62"/>
      <c r="E236" s="56">
        <v>3000</v>
      </c>
      <c r="F236" s="56">
        <v>2997</v>
      </c>
      <c r="G236" s="56">
        <f t="shared" si="9"/>
        <v>99.9</v>
      </c>
      <c r="H236" s="57"/>
      <c r="I236" s="14"/>
      <c r="J236" s="14"/>
      <c r="K236" s="14"/>
    </row>
    <row r="237" spans="1:11" ht="197.25" customHeight="1" x14ac:dyDescent="0.25">
      <c r="A237" s="10">
        <v>70</v>
      </c>
      <c r="B237" s="55" t="s">
        <v>383</v>
      </c>
      <c r="C237" s="62" t="s">
        <v>186</v>
      </c>
      <c r="D237" s="17">
        <v>2016</v>
      </c>
      <c r="E237" s="56">
        <v>0</v>
      </c>
      <c r="F237" s="56">
        <v>0</v>
      </c>
      <c r="G237" s="56"/>
      <c r="H237" s="57">
        <v>90</v>
      </c>
      <c r="I237" s="55"/>
      <c r="J237" s="37" t="s">
        <v>380</v>
      </c>
      <c r="K237" s="23" t="s">
        <v>384</v>
      </c>
    </row>
    <row r="238" spans="1:11" ht="182.25" customHeight="1" x14ac:dyDescent="0.25">
      <c r="A238" s="10">
        <v>71</v>
      </c>
      <c r="B238" s="55" t="s">
        <v>190</v>
      </c>
      <c r="C238" s="62" t="s">
        <v>186</v>
      </c>
      <c r="D238" s="17" t="s">
        <v>16</v>
      </c>
      <c r="E238" s="65">
        <v>27000</v>
      </c>
      <c r="F238" s="65">
        <v>994735</v>
      </c>
      <c r="G238" s="56">
        <f t="shared" si="9"/>
        <v>3684.2037037037039</v>
      </c>
      <c r="H238" s="66">
        <v>100</v>
      </c>
      <c r="I238" s="55"/>
      <c r="J238" s="14"/>
      <c r="K238" s="14"/>
    </row>
    <row r="239" spans="1:11" ht="35.25" customHeight="1" x14ac:dyDescent="0.25">
      <c r="A239" s="10"/>
      <c r="B239" s="61" t="s">
        <v>139</v>
      </c>
      <c r="C239" s="62"/>
      <c r="D239" s="17"/>
      <c r="E239" s="65">
        <v>27000</v>
      </c>
      <c r="F239" s="65">
        <v>994735</v>
      </c>
      <c r="G239" s="65"/>
      <c r="H239" s="66"/>
      <c r="I239" s="48"/>
      <c r="J239" s="14"/>
      <c r="K239" s="14"/>
    </row>
    <row r="240" spans="1:11" ht="84" customHeight="1" x14ac:dyDescent="0.25">
      <c r="A240" s="10">
        <v>72</v>
      </c>
      <c r="B240" s="55" t="s">
        <v>191</v>
      </c>
      <c r="C240" s="62" t="s">
        <v>186</v>
      </c>
      <c r="D240" s="17" t="s">
        <v>193</v>
      </c>
      <c r="E240" s="56">
        <v>3000</v>
      </c>
      <c r="F240" s="56">
        <v>3000</v>
      </c>
      <c r="G240" s="56">
        <f t="shared" ref="G240:G259" si="10">F240/E240*100</f>
        <v>100</v>
      </c>
      <c r="H240" s="57">
        <v>100</v>
      </c>
      <c r="I240" s="55"/>
      <c r="J240" s="23" t="s">
        <v>385</v>
      </c>
      <c r="K240" s="14"/>
    </row>
    <row r="241" spans="1:11" ht="17.25" customHeight="1" x14ac:dyDescent="0.25">
      <c r="A241" s="10"/>
      <c r="B241" s="61" t="s">
        <v>22</v>
      </c>
      <c r="C241" s="62"/>
      <c r="D241" s="17"/>
      <c r="E241" s="56">
        <v>3000</v>
      </c>
      <c r="F241" s="56">
        <v>3000</v>
      </c>
      <c r="G241" s="56">
        <f t="shared" si="10"/>
        <v>100</v>
      </c>
      <c r="H241" s="57"/>
      <c r="I241" s="48"/>
      <c r="J241" s="14"/>
      <c r="K241" s="14"/>
    </row>
    <row r="242" spans="1:11" ht="114.75" customHeight="1" x14ac:dyDescent="0.25">
      <c r="A242" s="10">
        <v>73</v>
      </c>
      <c r="B242" s="55" t="s">
        <v>192</v>
      </c>
      <c r="C242" s="62" t="s">
        <v>186</v>
      </c>
      <c r="D242" s="17" t="s">
        <v>175</v>
      </c>
      <c r="E242" s="56">
        <v>15000</v>
      </c>
      <c r="F242" s="56">
        <v>14652.6</v>
      </c>
      <c r="G242" s="56">
        <f t="shared" si="10"/>
        <v>97.683999999999997</v>
      </c>
      <c r="H242" s="57">
        <v>100</v>
      </c>
      <c r="I242" s="55"/>
      <c r="J242" s="23" t="s">
        <v>386</v>
      </c>
      <c r="K242" s="14"/>
    </row>
    <row r="243" spans="1:11" ht="17.25" customHeight="1" x14ac:dyDescent="0.25">
      <c r="A243" s="10"/>
      <c r="B243" s="61" t="s">
        <v>22</v>
      </c>
      <c r="C243" s="62"/>
      <c r="D243" s="17"/>
      <c r="E243" s="56">
        <v>15000</v>
      </c>
      <c r="F243" s="56">
        <v>14652.6</v>
      </c>
      <c r="G243" s="56">
        <f t="shared" si="10"/>
        <v>97.683999999999997</v>
      </c>
      <c r="H243" s="57"/>
      <c r="I243" s="48"/>
      <c r="J243" s="14"/>
      <c r="K243" s="14"/>
    </row>
    <row r="244" spans="1:11" ht="98.25" customHeight="1" x14ac:dyDescent="0.25">
      <c r="A244" s="10">
        <v>74</v>
      </c>
      <c r="B244" s="55" t="s">
        <v>387</v>
      </c>
      <c r="C244" s="62" t="s">
        <v>186</v>
      </c>
      <c r="D244" s="17">
        <v>2016</v>
      </c>
      <c r="E244" s="56">
        <v>15000</v>
      </c>
      <c r="F244" s="56">
        <v>132000</v>
      </c>
      <c r="G244" s="56">
        <f t="shared" si="10"/>
        <v>880.00000000000011</v>
      </c>
      <c r="H244" s="57">
        <v>100</v>
      </c>
      <c r="I244" s="14"/>
      <c r="J244" s="37" t="s">
        <v>380</v>
      </c>
      <c r="K244" s="14"/>
    </row>
    <row r="245" spans="1:11" ht="36.75" customHeight="1" x14ac:dyDescent="0.25">
      <c r="A245" s="10"/>
      <c r="B245" s="61" t="s">
        <v>139</v>
      </c>
      <c r="C245" s="62"/>
      <c r="D245" s="17"/>
      <c r="E245" s="56">
        <v>15000</v>
      </c>
      <c r="F245" s="56">
        <v>132000</v>
      </c>
      <c r="G245" s="56">
        <f t="shared" si="10"/>
        <v>880.00000000000011</v>
      </c>
      <c r="H245" s="57"/>
      <c r="I245" s="14"/>
      <c r="J245" s="14"/>
      <c r="K245" s="14"/>
    </row>
    <row r="246" spans="1:11" ht="80.25" customHeight="1" x14ac:dyDescent="0.25">
      <c r="A246" s="10">
        <v>75</v>
      </c>
      <c r="B246" s="55" t="s">
        <v>194</v>
      </c>
      <c r="C246" s="62" t="s">
        <v>186</v>
      </c>
      <c r="D246" s="17" t="s">
        <v>16</v>
      </c>
      <c r="E246" s="56">
        <v>12000</v>
      </c>
      <c r="F246" s="56">
        <v>11028</v>
      </c>
      <c r="G246" s="56">
        <f t="shared" si="10"/>
        <v>91.9</v>
      </c>
      <c r="H246" s="57">
        <v>100</v>
      </c>
      <c r="I246" s="14"/>
      <c r="J246" s="23" t="s">
        <v>343</v>
      </c>
      <c r="K246" s="14"/>
    </row>
    <row r="247" spans="1:11" ht="17.25" customHeight="1" x14ac:dyDescent="0.25">
      <c r="A247" s="10"/>
      <c r="B247" s="61" t="s">
        <v>22</v>
      </c>
      <c r="C247" s="62"/>
      <c r="D247" s="17"/>
      <c r="E247" s="56">
        <v>12000</v>
      </c>
      <c r="F247" s="56">
        <v>11028</v>
      </c>
      <c r="G247" s="56">
        <f t="shared" si="10"/>
        <v>91.9</v>
      </c>
      <c r="H247" s="57"/>
      <c r="I247" s="14"/>
      <c r="J247" s="14"/>
      <c r="K247" s="14"/>
    </row>
    <row r="248" spans="1:11" ht="72" customHeight="1" x14ac:dyDescent="0.25">
      <c r="A248" s="10">
        <v>76</v>
      </c>
      <c r="B248" s="55" t="s">
        <v>195</v>
      </c>
      <c r="C248" s="62" t="s">
        <v>186</v>
      </c>
      <c r="D248" s="17" t="s">
        <v>16</v>
      </c>
      <c r="E248" s="56">
        <v>5000</v>
      </c>
      <c r="F248" s="56">
        <v>4998.8</v>
      </c>
      <c r="G248" s="56">
        <f t="shared" si="10"/>
        <v>99.975999999999999</v>
      </c>
      <c r="H248" s="57">
        <v>100</v>
      </c>
      <c r="I248" s="14"/>
      <c r="J248" s="23" t="s">
        <v>343</v>
      </c>
      <c r="K248" s="14"/>
    </row>
    <row r="249" spans="1:11" ht="17.25" customHeight="1" x14ac:dyDescent="0.25">
      <c r="A249" s="10"/>
      <c r="B249" s="61" t="s">
        <v>22</v>
      </c>
      <c r="C249" s="62"/>
      <c r="D249" s="17"/>
      <c r="E249" s="56">
        <v>5000</v>
      </c>
      <c r="F249" s="56">
        <v>4998.8</v>
      </c>
      <c r="G249" s="56">
        <f t="shared" si="10"/>
        <v>99.975999999999999</v>
      </c>
      <c r="H249" s="57"/>
      <c r="I249" s="14"/>
      <c r="J249" s="14"/>
      <c r="K249" s="14"/>
    </row>
    <row r="250" spans="1:11" ht="96.75" customHeight="1" x14ac:dyDescent="0.25">
      <c r="A250" s="10">
        <v>77</v>
      </c>
      <c r="B250" s="55" t="s">
        <v>196</v>
      </c>
      <c r="C250" s="62" t="s">
        <v>186</v>
      </c>
      <c r="D250" s="17" t="s">
        <v>16</v>
      </c>
      <c r="E250" s="56">
        <v>3000</v>
      </c>
      <c r="F250" s="56">
        <v>2999.5</v>
      </c>
      <c r="G250" s="56">
        <f t="shared" si="10"/>
        <v>99.983333333333334</v>
      </c>
      <c r="H250" s="57">
        <v>100</v>
      </c>
      <c r="I250" s="14"/>
      <c r="J250" s="23" t="s">
        <v>343</v>
      </c>
      <c r="K250" s="14"/>
    </row>
    <row r="251" spans="1:11" ht="17.25" customHeight="1" x14ac:dyDescent="0.25">
      <c r="A251" s="10"/>
      <c r="B251" s="61" t="s">
        <v>22</v>
      </c>
      <c r="C251" s="62"/>
      <c r="D251" s="17"/>
      <c r="E251" s="56">
        <v>3000</v>
      </c>
      <c r="F251" s="56">
        <v>2995</v>
      </c>
      <c r="G251" s="56">
        <f t="shared" si="10"/>
        <v>99.833333333333329</v>
      </c>
      <c r="H251" s="57"/>
      <c r="I251" s="14"/>
      <c r="J251" s="14"/>
      <c r="K251" s="14"/>
    </row>
    <row r="252" spans="1:11" ht="96" customHeight="1" x14ac:dyDescent="0.25">
      <c r="A252" s="10">
        <v>78</v>
      </c>
      <c r="B252" s="55" t="s">
        <v>187</v>
      </c>
      <c r="C252" s="62" t="s">
        <v>197</v>
      </c>
      <c r="D252" s="17" t="s">
        <v>176</v>
      </c>
      <c r="E252" s="56">
        <v>28480</v>
      </c>
      <c r="F252" s="56">
        <v>28480</v>
      </c>
      <c r="G252" s="56">
        <f t="shared" si="10"/>
        <v>100</v>
      </c>
      <c r="H252" s="57">
        <v>100</v>
      </c>
      <c r="I252" s="14"/>
      <c r="J252" s="23" t="s">
        <v>388</v>
      </c>
      <c r="K252" s="14"/>
    </row>
    <row r="253" spans="1:11" ht="17.25" customHeight="1" x14ac:dyDescent="0.25">
      <c r="A253" s="10"/>
      <c r="B253" s="61" t="s">
        <v>22</v>
      </c>
      <c r="C253" s="62"/>
      <c r="D253" s="17"/>
      <c r="E253" s="56">
        <v>28480</v>
      </c>
      <c r="F253" s="56">
        <v>28480</v>
      </c>
      <c r="G253" s="56">
        <f t="shared" si="10"/>
        <v>100</v>
      </c>
      <c r="H253" s="57"/>
      <c r="I253" s="14"/>
      <c r="J253" s="14"/>
      <c r="K253" s="14"/>
    </row>
    <row r="254" spans="1:11" ht="132" customHeight="1" x14ac:dyDescent="0.25">
      <c r="A254" s="10">
        <v>79</v>
      </c>
      <c r="B254" s="55" t="s">
        <v>188</v>
      </c>
      <c r="C254" s="62" t="s">
        <v>197</v>
      </c>
      <c r="D254" s="17" t="s">
        <v>193</v>
      </c>
      <c r="E254" s="56">
        <v>4500</v>
      </c>
      <c r="F254" s="56">
        <v>4500</v>
      </c>
      <c r="G254" s="56">
        <f t="shared" si="10"/>
        <v>100</v>
      </c>
      <c r="H254" s="57">
        <v>100</v>
      </c>
      <c r="I254" s="14"/>
      <c r="J254" s="23" t="s">
        <v>389</v>
      </c>
      <c r="K254" s="14"/>
    </row>
    <row r="255" spans="1:11" ht="17.25" customHeight="1" x14ac:dyDescent="0.25">
      <c r="A255" s="10"/>
      <c r="B255" s="61" t="s">
        <v>22</v>
      </c>
      <c r="C255" s="62"/>
      <c r="D255" s="17"/>
      <c r="E255" s="56">
        <v>4500</v>
      </c>
      <c r="F255" s="56">
        <v>4500</v>
      </c>
      <c r="G255" s="56">
        <f t="shared" si="10"/>
        <v>100</v>
      </c>
      <c r="H255" s="57"/>
      <c r="I255" s="14"/>
      <c r="J255" s="14"/>
      <c r="K255" s="14"/>
    </row>
    <row r="256" spans="1:11" ht="64.5" customHeight="1" x14ac:dyDescent="0.25">
      <c r="A256" s="10">
        <v>80</v>
      </c>
      <c r="B256" s="55" t="s">
        <v>198</v>
      </c>
      <c r="C256" s="62" t="s">
        <v>197</v>
      </c>
      <c r="D256" s="17" t="s">
        <v>175</v>
      </c>
      <c r="E256" s="56">
        <v>19900</v>
      </c>
      <c r="F256" s="56">
        <v>19900</v>
      </c>
      <c r="G256" s="56">
        <f t="shared" si="10"/>
        <v>100</v>
      </c>
      <c r="H256" s="57">
        <v>100</v>
      </c>
      <c r="I256" s="14"/>
      <c r="J256" s="23" t="s">
        <v>390</v>
      </c>
      <c r="K256" s="14"/>
    </row>
    <row r="257" spans="1:11" ht="17.25" customHeight="1" x14ac:dyDescent="0.25">
      <c r="A257" s="10"/>
      <c r="B257" s="61" t="s">
        <v>22</v>
      </c>
      <c r="C257" s="62"/>
      <c r="D257" s="17"/>
      <c r="E257" s="56">
        <v>19900</v>
      </c>
      <c r="F257" s="56">
        <v>19900</v>
      </c>
      <c r="G257" s="56">
        <f t="shared" si="10"/>
        <v>100</v>
      </c>
      <c r="H257" s="57"/>
      <c r="I257" s="14"/>
      <c r="J257" s="14"/>
      <c r="K257" s="14"/>
    </row>
    <row r="258" spans="1:11" ht="66" customHeight="1" x14ac:dyDescent="0.25">
      <c r="A258" s="10">
        <v>81</v>
      </c>
      <c r="B258" s="55" t="s">
        <v>199</v>
      </c>
      <c r="C258" s="62" t="s">
        <v>197</v>
      </c>
      <c r="D258" s="17" t="s">
        <v>16</v>
      </c>
      <c r="E258" s="56">
        <v>10000</v>
      </c>
      <c r="F258" s="56">
        <v>9989.73</v>
      </c>
      <c r="G258" s="56">
        <f t="shared" si="10"/>
        <v>99.897300000000001</v>
      </c>
      <c r="H258" s="57">
        <v>100</v>
      </c>
      <c r="I258" s="14"/>
      <c r="J258" s="23" t="s">
        <v>343</v>
      </c>
      <c r="K258" s="14"/>
    </row>
    <row r="259" spans="1:11" ht="17.25" customHeight="1" x14ac:dyDescent="0.25">
      <c r="A259" s="10"/>
      <c r="B259" s="61" t="s">
        <v>22</v>
      </c>
      <c r="C259" s="62"/>
      <c r="D259" s="17"/>
      <c r="E259" s="56">
        <v>10000</v>
      </c>
      <c r="F259" s="56">
        <v>9989.73</v>
      </c>
      <c r="G259" s="56">
        <f t="shared" si="10"/>
        <v>99.897300000000001</v>
      </c>
      <c r="H259" s="57"/>
      <c r="I259" s="14"/>
      <c r="J259" s="14"/>
      <c r="K259" s="14"/>
    </row>
    <row r="260" spans="1:11" ht="96" customHeight="1" x14ac:dyDescent="0.25">
      <c r="A260" s="10">
        <v>82</v>
      </c>
      <c r="B260" s="55" t="s">
        <v>391</v>
      </c>
      <c r="C260" s="62" t="s">
        <v>197</v>
      </c>
      <c r="D260" s="17">
        <v>2016</v>
      </c>
      <c r="E260" s="56">
        <v>0</v>
      </c>
      <c r="F260" s="56">
        <v>0</v>
      </c>
      <c r="G260" s="56" t="s">
        <v>392</v>
      </c>
      <c r="H260" s="57">
        <v>100</v>
      </c>
      <c r="I260" s="14"/>
      <c r="J260" s="37" t="s">
        <v>380</v>
      </c>
      <c r="K260" s="14"/>
    </row>
    <row r="261" spans="1:11" ht="134.25" customHeight="1" x14ac:dyDescent="0.25">
      <c r="A261" s="10">
        <v>83</v>
      </c>
      <c r="B261" s="55" t="s">
        <v>200</v>
      </c>
      <c r="C261" s="62" t="s">
        <v>197</v>
      </c>
      <c r="D261" s="17" t="s">
        <v>16</v>
      </c>
      <c r="E261" s="56">
        <v>30000</v>
      </c>
      <c r="F261" s="56">
        <v>19909.11</v>
      </c>
      <c r="G261" s="56">
        <f t="shared" ref="G261:G287" si="11">F261/E261*100</f>
        <v>66.363700000000009</v>
      </c>
      <c r="H261" s="57">
        <v>100</v>
      </c>
      <c r="I261" s="55"/>
      <c r="J261" s="23" t="s">
        <v>343</v>
      </c>
      <c r="K261" s="14"/>
    </row>
    <row r="262" spans="1:11" ht="17.25" customHeight="1" x14ac:dyDescent="0.25">
      <c r="A262" s="10"/>
      <c r="B262" s="61" t="s">
        <v>22</v>
      </c>
      <c r="C262" s="62"/>
      <c r="D262" s="17"/>
      <c r="E262" s="56">
        <v>30000</v>
      </c>
      <c r="F262" s="56">
        <v>19909.11</v>
      </c>
      <c r="G262" s="56">
        <f t="shared" si="11"/>
        <v>66.363700000000009</v>
      </c>
      <c r="H262" s="57"/>
      <c r="I262" s="48"/>
      <c r="J262" s="23"/>
      <c r="K262" s="14"/>
    </row>
    <row r="263" spans="1:11" ht="81.75" customHeight="1" x14ac:dyDescent="0.25">
      <c r="A263" s="10">
        <v>84</v>
      </c>
      <c r="B263" s="55" t="s">
        <v>191</v>
      </c>
      <c r="C263" s="62" t="s">
        <v>197</v>
      </c>
      <c r="D263" s="17" t="s">
        <v>193</v>
      </c>
      <c r="E263" s="56">
        <v>5000</v>
      </c>
      <c r="F263" s="56">
        <v>4755.7</v>
      </c>
      <c r="G263" s="56">
        <f t="shared" si="11"/>
        <v>95.114000000000004</v>
      </c>
      <c r="H263" s="57">
        <v>100</v>
      </c>
      <c r="I263" s="55"/>
      <c r="J263" s="23" t="s">
        <v>393</v>
      </c>
      <c r="K263" s="14"/>
    </row>
    <row r="264" spans="1:11" ht="17.25" customHeight="1" x14ac:dyDescent="0.25">
      <c r="A264" s="10"/>
      <c r="B264" s="61" t="s">
        <v>22</v>
      </c>
      <c r="C264" s="62"/>
      <c r="D264" s="17"/>
      <c r="E264" s="56">
        <v>5000</v>
      </c>
      <c r="F264" s="56">
        <v>4755.7</v>
      </c>
      <c r="G264" s="56">
        <f t="shared" si="11"/>
        <v>95.114000000000004</v>
      </c>
      <c r="H264" s="57"/>
      <c r="I264" s="48"/>
      <c r="J264" s="14"/>
      <c r="K264" s="14"/>
    </row>
    <row r="265" spans="1:11" ht="112.5" customHeight="1" x14ac:dyDescent="0.25">
      <c r="A265" s="10">
        <v>85</v>
      </c>
      <c r="B265" s="55" t="s">
        <v>192</v>
      </c>
      <c r="C265" s="62" t="s">
        <v>197</v>
      </c>
      <c r="D265" s="17" t="s">
        <v>175</v>
      </c>
      <c r="E265" s="56">
        <v>20000</v>
      </c>
      <c r="F265" s="56">
        <v>19985.07</v>
      </c>
      <c r="G265" s="56">
        <f t="shared" si="11"/>
        <v>99.925350000000009</v>
      </c>
      <c r="H265" s="57">
        <v>100</v>
      </c>
      <c r="I265" s="55"/>
      <c r="J265" s="23" t="s">
        <v>390</v>
      </c>
      <c r="K265" s="14"/>
    </row>
    <row r="266" spans="1:11" ht="17.25" customHeight="1" x14ac:dyDescent="0.25">
      <c r="A266" s="10"/>
      <c r="B266" s="61" t="s">
        <v>22</v>
      </c>
      <c r="C266" s="62"/>
      <c r="D266" s="17"/>
      <c r="E266" s="56">
        <v>20000</v>
      </c>
      <c r="F266" s="56">
        <v>19985.07</v>
      </c>
      <c r="G266" s="56">
        <f t="shared" si="11"/>
        <v>99.925350000000009</v>
      </c>
      <c r="H266" s="57"/>
      <c r="I266" s="48"/>
      <c r="J266" s="14"/>
      <c r="K266" s="14"/>
    </row>
    <row r="267" spans="1:11" ht="84" customHeight="1" x14ac:dyDescent="0.25">
      <c r="A267" s="10">
        <v>86</v>
      </c>
      <c r="B267" s="55" t="s">
        <v>194</v>
      </c>
      <c r="C267" s="62" t="s">
        <v>197</v>
      </c>
      <c r="D267" s="17" t="s">
        <v>16</v>
      </c>
      <c r="E267" s="56">
        <v>20000</v>
      </c>
      <c r="F267" s="56">
        <v>14765</v>
      </c>
      <c r="G267" s="56">
        <f t="shared" si="11"/>
        <v>73.825000000000003</v>
      </c>
      <c r="H267" s="57">
        <v>100</v>
      </c>
      <c r="I267" s="55"/>
      <c r="J267" s="23" t="s">
        <v>343</v>
      </c>
      <c r="K267" s="14"/>
    </row>
    <row r="268" spans="1:11" ht="17.25" customHeight="1" x14ac:dyDescent="0.25">
      <c r="A268" s="10"/>
      <c r="B268" s="61" t="s">
        <v>22</v>
      </c>
      <c r="C268" s="62"/>
      <c r="D268" s="17"/>
      <c r="E268" s="56">
        <v>20000</v>
      </c>
      <c r="F268" s="56">
        <v>14765</v>
      </c>
      <c r="G268" s="56">
        <f t="shared" si="11"/>
        <v>73.825000000000003</v>
      </c>
      <c r="H268" s="57"/>
      <c r="I268" s="48"/>
      <c r="J268" s="14"/>
      <c r="K268" s="14"/>
    </row>
    <row r="269" spans="1:11" ht="54.75" customHeight="1" x14ac:dyDescent="0.25">
      <c r="A269" s="10">
        <v>87</v>
      </c>
      <c r="B269" s="55" t="s">
        <v>195</v>
      </c>
      <c r="C269" s="62" t="s">
        <v>197</v>
      </c>
      <c r="D269" s="17" t="s">
        <v>16</v>
      </c>
      <c r="E269" s="56">
        <v>5000</v>
      </c>
      <c r="F269" s="56">
        <v>3000</v>
      </c>
      <c r="G269" s="56">
        <f t="shared" si="11"/>
        <v>60</v>
      </c>
      <c r="H269" s="57">
        <v>100</v>
      </c>
      <c r="I269" s="55"/>
      <c r="J269" s="23" t="s">
        <v>343</v>
      </c>
      <c r="K269" s="14"/>
    </row>
    <row r="270" spans="1:11" ht="17.25" customHeight="1" x14ac:dyDescent="0.25">
      <c r="A270" s="10"/>
      <c r="B270" s="61" t="s">
        <v>22</v>
      </c>
      <c r="C270" s="62"/>
      <c r="D270" s="17"/>
      <c r="E270" s="56">
        <v>5000</v>
      </c>
      <c r="F270" s="56">
        <v>3000</v>
      </c>
      <c r="G270" s="56">
        <f t="shared" si="11"/>
        <v>60</v>
      </c>
      <c r="H270" s="57"/>
      <c r="I270" s="48"/>
      <c r="J270" s="23"/>
      <c r="K270" s="14"/>
    </row>
    <row r="271" spans="1:11" ht="100.5" customHeight="1" x14ac:dyDescent="0.25">
      <c r="A271" s="10">
        <v>88</v>
      </c>
      <c r="B271" s="55" t="s">
        <v>187</v>
      </c>
      <c r="C271" s="62" t="s">
        <v>21</v>
      </c>
      <c r="D271" s="17" t="s">
        <v>16</v>
      </c>
      <c r="E271" s="56">
        <v>4000</v>
      </c>
      <c r="F271" s="56">
        <v>4000</v>
      </c>
      <c r="G271" s="56">
        <f t="shared" si="11"/>
        <v>100</v>
      </c>
      <c r="H271" s="57">
        <v>100</v>
      </c>
      <c r="I271" s="48"/>
      <c r="J271" s="23" t="s">
        <v>343</v>
      </c>
      <c r="K271" s="14"/>
    </row>
    <row r="272" spans="1:11" ht="17.25" customHeight="1" x14ac:dyDescent="0.25">
      <c r="A272" s="10"/>
      <c r="B272" s="61" t="s">
        <v>22</v>
      </c>
      <c r="C272" s="62"/>
      <c r="D272" s="17"/>
      <c r="E272" s="56">
        <v>4000</v>
      </c>
      <c r="F272" s="56">
        <v>4000</v>
      </c>
      <c r="G272" s="56">
        <f t="shared" si="11"/>
        <v>100</v>
      </c>
      <c r="H272" s="57"/>
      <c r="I272" s="48"/>
      <c r="J272" s="48"/>
      <c r="K272" s="14"/>
    </row>
    <row r="273" spans="1:11" ht="128.25" customHeight="1" x14ac:dyDescent="0.25">
      <c r="A273" s="10">
        <v>89</v>
      </c>
      <c r="B273" s="55" t="s">
        <v>188</v>
      </c>
      <c r="C273" s="62" t="s">
        <v>21</v>
      </c>
      <c r="D273" s="17" t="s">
        <v>176</v>
      </c>
      <c r="E273" s="56">
        <v>5000</v>
      </c>
      <c r="F273" s="56">
        <v>5000</v>
      </c>
      <c r="G273" s="56">
        <f t="shared" si="11"/>
        <v>100</v>
      </c>
      <c r="H273" s="57">
        <v>100</v>
      </c>
      <c r="I273" s="48"/>
      <c r="J273" s="23" t="s">
        <v>394</v>
      </c>
      <c r="K273" s="14"/>
    </row>
    <row r="274" spans="1:11" ht="17.25" customHeight="1" x14ac:dyDescent="0.25">
      <c r="A274" s="10"/>
      <c r="B274" s="61" t="s">
        <v>22</v>
      </c>
      <c r="C274" s="62"/>
      <c r="D274" s="17"/>
      <c r="E274" s="56">
        <v>5000</v>
      </c>
      <c r="F274" s="56">
        <v>5000</v>
      </c>
      <c r="G274" s="56">
        <f t="shared" si="11"/>
        <v>100</v>
      </c>
      <c r="H274" s="57"/>
      <c r="I274" s="48"/>
      <c r="J274" s="48"/>
      <c r="K274" s="14"/>
    </row>
    <row r="275" spans="1:11" ht="84" customHeight="1" x14ac:dyDescent="0.25">
      <c r="A275" s="10">
        <v>90</v>
      </c>
      <c r="B275" s="55" t="s">
        <v>201</v>
      </c>
      <c r="C275" s="62" t="s">
        <v>21</v>
      </c>
      <c r="D275" s="17" t="s">
        <v>16</v>
      </c>
      <c r="E275" s="56">
        <v>3000</v>
      </c>
      <c r="F275" s="56">
        <v>3000</v>
      </c>
      <c r="G275" s="56">
        <f t="shared" si="11"/>
        <v>100</v>
      </c>
      <c r="H275" s="57">
        <v>100</v>
      </c>
      <c r="I275" s="48"/>
      <c r="J275" s="23" t="s">
        <v>343</v>
      </c>
      <c r="K275" s="14"/>
    </row>
    <row r="276" spans="1:11" ht="17.25" customHeight="1" x14ac:dyDescent="0.25">
      <c r="A276" s="10"/>
      <c r="B276" s="61" t="s">
        <v>22</v>
      </c>
      <c r="C276" s="62"/>
      <c r="D276" s="17"/>
      <c r="E276" s="56">
        <v>3000</v>
      </c>
      <c r="F276" s="56">
        <v>3000</v>
      </c>
      <c r="G276" s="56">
        <f t="shared" si="11"/>
        <v>100</v>
      </c>
      <c r="H276" s="57"/>
      <c r="I276" s="48"/>
      <c r="J276" s="48"/>
      <c r="K276" s="14"/>
    </row>
    <row r="277" spans="1:11" ht="96.75" customHeight="1" x14ac:dyDescent="0.25">
      <c r="A277" s="10">
        <v>91</v>
      </c>
      <c r="B277" s="55" t="s">
        <v>395</v>
      </c>
      <c r="C277" s="62" t="s">
        <v>21</v>
      </c>
      <c r="D277" s="17">
        <v>2016</v>
      </c>
      <c r="E277" s="56">
        <v>0</v>
      </c>
      <c r="F277" s="56">
        <v>0</v>
      </c>
      <c r="G277" s="56"/>
      <c r="H277" s="57">
        <v>100</v>
      </c>
      <c r="I277" s="48"/>
      <c r="J277" s="37" t="s">
        <v>380</v>
      </c>
      <c r="K277" s="14"/>
    </row>
    <row r="278" spans="1:11" ht="83.25" customHeight="1" x14ac:dyDescent="0.25">
      <c r="A278" s="10">
        <v>92</v>
      </c>
      <c r="B278" s="55" t="s">
        <v>191</v>
      </c>
      <c r="C278" s="62" t="s">
        <v>21</v>
      </c>
      <c r="D278" s="17" t="s">
        <v>176</v>
      </c>
      <c r="E278" s="56">
        <v>2000</v>
      </c>
      <c r="F278" s="56">
        <v>2000</v>
      </c>
      <c r="G278" s="56">
        <f t="shared" si="11"/>
        <v>100</v>
      </c>
      <c r="H278" s="57">
        <v>100</v>
      </c>
      <c r="I278" s="48"/>
      <c r="J278" s="23" t="s">
        <v>394</v>
      </c>
      <c r="K278" s="14"/>
    </row>
    <row r="279" spans="1:11" ht="17.25" customHeight="1" x14ac:dyDescent="0.25">
      <c r="A279" s="10"/>
      <c r="B279" s="61" t="s">
        <v>22</v>
      </c>
      <c r="C279" s="62"/>
      <c r="D279" s="17"/>
      <c r="E279" s="56">
        <v>2000</v>
      </c>
      <c r="F279" s="56">
        <v>2000</v>
      </c>
      <c r="G279" s="56">
        <f t="shared" si="11"/>
        <v>100</v>
      </c>
      <c r="H279" s="57"/>
      <c r="I279" s="48"/>
      <c r="J279" s="48"/>
      <c r="K279" s="14"/>
    </row>
    <row r="280" spans="1:11" ht="115.5" customHeight="1" x14ac:dyDescent="0.25">
      <c r="A280" s="10">
        <v>93</v>
      </c>
      <c r="B280" s="55" t="s">
        <v>192</v>
      </c>
      <c r="C280" s="62" t="s">
        <v>21</v>
      </c>
      <c r="D280" s="17" t="s">
        <v>45</v>
      </c>
      <c r="E280" s="56">
        <v>20000</v>
      </c>
      <c r="F280" s="56">
        <v>20000</v>
      </c>
      <c r="G280" s="56">
        <f t="shared" si="11"/>
        <v>100</v>
      </c>
      <c r="H280" s="57">
        <v>100</v>
      </c>
      <c r="I280" s="48"/>
      <c r="J280" s="23" t="s">
        <v>372</v>
      </c>
      <c r="K280" s="14"/>
    </row>
    <row r="281" spans="1:11" ht="17.25" customHeight="1" x14ac:dyDescent="0.25">
      <c r="A281" s="10"/>
      <c r="B281" s="61" t="s">
        <v>22</v>
      </c>
      <c r="C281" s="62"/>
      <c r="D281" s="17"/>
      <c r="E281" s="56">
        <v>20000</v>
      </c>
      <c r="F281" s="56">
        <v>20000</v>
      </c>
      <c r="G281" s="56">
        <f t="shared" si="11"/>
        <v>100</v>
      </c>
      <c r="H281" s="57"/>
      <c r="I281" s="48"/>
      <c r="J281" s="48"/>
      <c r="K281" s="14"/>
    </row>
    <row r="282" spans="1:11" ht="80.25" customHeight="1" x14ac:dyDescent="0.25">
      <c r="A282" s="10">
        <v>94</v>
      </c>
      <c r="B282" s="55" t="s">
        <v>194</v>
      </c>
      <c r="C282" s="62" t="s">
        <v>21</v>
      </c>
      <c r="D282" s="17" t="s">
        <v>57</v>
      </c>
      <c r="E282" s="56">
        <v>20000</v>
      </c>
      <c r="F282" s="56">
        <v>18360</v>
      </c>
      <c r="G282" s="56">
        <f t="shared" si="11"/>
        <v>91.8</v>
      </c>
      <c r="H282" s="57">
        <v>100</v>
      </c>
      <c r="I282" s="55"/>
      <c r="J282" s="23" t="s">
        <v>396</v>
      </c>
      <c r="K282" s="14"/>
    </row>
    <row r="283" spans="1:11" ht="17.25" customHeight="1" x14ac:dyDescent="0.25">
      <c r="A283" s="10"/>
      <c r="B283" s="61" t="s">
        <v>22</v>
      </c>
      <c r="C283" s="62"/>
      <c r="D283" s="17"/>
      <c r="E283" s="56">
        <v>20000</v>
      </c>
      <c r="F283" s="56">
        <v>18360</v>
      </c>
      <c r="G283" s="56">
        <f t="shared" si="11"/>
        <v>91.8</v>
      </c>
      <c r="H283" s="57"/>
      <c r="I283" s="48"/>
      <c r="J283" s="48"/>
      <c r="K283" s="14"/>
    </row>
    <row r="284" spans="1:11" ht="66" customHeight="1" x14ac:dyDescent="0.25">
      <c r="A284" s="10">
        <v>95</v>
      </c>
      <c r="B284" s="55" t="s">
        <v>195</v>
      </c>
      <c r="C284" s="62" t="s">
        <v>21</v>
      </c>
      <c r="D284" s="17" t="s">
        <v>16</v>
      </c>
      <c r="E284" s="56">
        <v>5000</v>
      </c>
      <c r="F284" s="56">
        <v>5000</v>
      </c>
      <c r="G284" s="56">
        <f t="shared" si="11"/>
        <v>100</v>
      </c>
      <c r="H284" s="57">
        <v>100</v>
      </c>
      <c r="I284" s="48"/>
      <c r="J284" s="23" t="s">
        <v>343</v>
      </c>
      <c r="K284" s="14"/>
    </row>
    <row r="285" spans="1:11" ht="17.25" customHeight="1" x14ac:dyDescent="0.25">
      <c r="A285" s="10"/>
      <c r="B285" s="61" t="s">
        <v>22</v>
      </c>
      <c r="C285" s="62"/>
      <c r="D285" s="17"/>
      <c r="E285" s="56">
        <v>5000</v>
      </c>
      <c r="F285" s="56">
        <v>5000</v>
      </c>
      <c r="G285" s="56">
        <f t="shared" si="11"/>
        <v>100</v>
      </c>
      <c r="H285" s="57"/>
      <c r="I285" s="48"/>
      <c r="J285" s="48"/>
      <c r="K285" s="14"/>
    </row>
    <row r="286" spans="1:11" ht="99" customHeight="1" x14ac:dyDescent="0.25">
      <c r="A286" s="10">
        <v>96</v>
      </c>
      <c r="B286" s="55" t="s">
        <v>203</v>
      </c>
      <c r="C286" s="62" t="s">
        <v>21</v>
      </c>
      <c r="D286" s="17" t="s">
        <v>175</v>
      </c>
      <c r="E286" s="56">
        <v>3000</v>
      </c>
      <c r="F286" s="56">
        <v>3000</v>
      </c>
      <c r="G286" s="56">
        <f t="shared" si="11"/>
        <v>100</v>
      </c>
      <c r="H286" s="57">
        <v>100</v>
      </c>
      <c r="I286" s="48"/>
      <c r="J286" s="23" t="s">
        <v>386</v>
      </c>
      <c r="K286" s="14"/>
    </row>
    <row r="287" spans="1:11" ht="17.25" customHeight="1" x14ac:dyDescent="0.25">
      <c r="A287" s="10"/>
      <c r="B287" s="61" t="s">
        <v>22</v>
      </c>
      <c r="C287" s="62"/>
      <c r="D287" s="17"/>
      <c r="E287" s="56">
        <v>3000</v>
      </c>
      <c r="F287" s="56">
        <v>3000</v>
      </c>
      <c r="G287" s="56">
        <f t="shared" si="11"/>
        <v>100</v>
      </c>
      <c r="H287" s="57"/>
      <c r="I287" s="48"/>
      <c r="J287" s="48"/>
      <c r="K287" s="14"/>
    </row>
    <row r="288" spans="1:11" ht="132.75" customHeight="1" x14ac:dyDescent="0.25">
      <c r="A288" s="10">
        <v>97</v>
      </c>
      <c r="B288" s="55" t="s">
        <v>202</v>
      </c>
      <c r="C288" s="62" t="s">
        <v>21</v>
      </c>
      <c r="D288" s="17" t="s">
        <v>16</v>
      </c>
      <c r="E288" s="56" t="s">
        <v>392</v>
      </c>
      <c r="F288" s="56" t="s">
        <v>392</v>
      </c>
      <c r="G288" s="56"/>
      <c r="H288" s="57">
        <v>100</v>
      </c>
      <c r="I288" s="48"/>
      <c r="J288" s="23" t="s">
        <v>343</v>
      </c>
      <c r="K288" s="14"/>
    </row>
    <row r="289" spans="1:11" ht="197.25" customHeight="1" x14ac:dyDescent="0.25">
      <c r="A289" s="10">
        <v>98</v>
      </c>
      <c r="B289" s="55" t="s">
        <v>187</v>
      </c>
      <c r="C289" s="62" t="s">
        <v>204</v>
      </c>
      <c r="D289" s="17" t="s">
        <v>397</v>
      </c>
      <c r="E289" s="56">
        <v>14500</v>
      </c>
      <c r="F289" s="56">
        <v>0</v>
      </c>
      <c r="G289" s="56">
        <f t="shared" ref="G289:G325" si="12">F289/E289*100</f>
        <v>0</v>
      </c>
      <c r="H289" s="57">
        <v>0</v>
      </c>
      <c r="I289" s="55" t="s">
        <v>398</v>
      </c>
      <c r="J289" s="23" t="s">
        <v>399</v>
      </c>
      <c r="K289" s="55" t="s">
        <v>376</v>
      </c>
    </row>
    <row r="290" spans="1:11" ht="20.25" customHeight="1" x14ac:dyDescent="0.25">
      <c r="A290" s="10"/>
      <c r="B290" s="61" t="s">
        <v>22</v>
      </c>
      <c r="C290" s="62"/>
      <c r="D290" s="17"/>
      <c r="E290" s="56">
        <v>14500</v>
      </c>
      <c r="F290" s="56">
        <v>0</v>
      </c>
      <c r="G290" s="56">
        <f t="shared" si="12"/>
        <v>0</v>
      </c>
      <c r="H290" s="57"/>
      <c r="I290" s="48"/>
      <c r="J290" s="23"/>
      <c r="K290" s="14"/>
    </row>
    <row r="291" spans="1:11" ht="196.5" customHeight="1" x14ac:dyDescent="0.25">
      <c r="A291" s="10">
        <v>99</v>
      </c>
      <c r="B291" s="55" t="s">
        <v>188</v>
      </c>
      <c r="C291" s="62" t="s">
        <v>204</v>
      </c>
      <c r="D291" s="17" t="s">
        <v>400</v>
      </c>
      <c r="E291" s="56">
        <v>5000</v>
      </c>
      <c r="F291" s="56">
        <v>0</v>
      </c>
      <c r="G291" s="56">
        <f t="shared" si="12"/>
        <v>0</v>
      </c>
      <c r="H291" s="57">
        <v>0</v>
      </c>
      <c r="I291" s="55" t="s">
        <v>398</v>
      </c>
      <c r="J291" s="23" t="s">
        <v>401</v>
      </c>
      <c r="K291" s="55" t="s">
        <v>376</v>
      </c>
    </row>
    <row r="292" spans="1:11" ht="20.25" customHeight="1" x14ac:dyDescent="0.25">
      <c r="A292" s="10"/>
      <c r="B292" s="61" t="s">
        <v>22</v>
      </c>
      <c r="C292" s="62"/>
      <c r="D292" s="17"/>
      <c r="E292" s="56">
        <v>5000</v>
      </c>
      <c r="F292" s="56">
        <v>0</v>
      </c>
      <c r="G292" s="56">
        <f t="shared" si="12"/>
        <v>0</v>
      </c>
      <c r="H292" s="57"/>
      <c r="I292" s="48"/>
      <c r="J292" s="48"/>
      <c r="K292" s="14"/>
    </row>
    <row r="293" spans="1:11" ht="193.5" customHeight="1" x14ac:dyDescent="0.25">
      <c r="A293" s="10">
        <v>100</v>
      </c>
      <c r="B293" s="55" t="s">
        <v>205</v>
      </c>
      <c r="C293" s="62" t="s">
        <v>204</v>
      </c>
      <c r="D293" s="17" t="s">
        <v>175</v>
      </c>
      <c r="E293" s="56">
        <v>10000</v>
      </c>
      <c r="F293" s="56">
        <v>0</v>
      </c>
      <c r="G293" s="56">
        <f t="shared" si="12"/>
        <v>0</v>
      </c>
      <c r="H293" s="57">
        <v>0</v>
      </c>
      <c r="I293" s="55" t="s">
        <v>398</v>
      </c>
      <c r="J293" s="23" t="s">
        <v>386</v>
      </c>
      <c r="K293" s="55" t="s">
        <v>376</v>
      </c>
    </row>
    <row r="294" spans="1:11" ht="20.25" customHeight="1" x14ac:dyDescent="0.25">
      <c r="A294" s="10"/>
      <c r="B294" s="61" t="s">
        <v>22</v>
      </c>
      <c r="C294" s="62"/>
      <c r="D294" s="17"/>
      <c r="E294" s="56">
        <v>10000</v>
      </c>
      <c r="F294" s="56">
        <v>0</v>
      </c>
      <c r="G294" s="56">
        <f t="shared" si="12"/>
        <v>0</v>
      </c>
      <c r="H294" s="57"/>
      <c r="I294" s="48"/>
      <c r="J294" s="48"/>
      <c r="K294" s="14"/>
    </row>
    <row r="295" spans="1:11" ht="83.25" customHeight="1" x14ac:dyDescent="0.25">
      <c r="A295" s="10">
        <v>101</v>
      </c>
      <c r="B295" s="55" t="s">
        <v>201</v>
      </c>
      <c r="C295" s="62" t="s">
        <v>204</v>
      </c>
      <c r="D295" s="17" t="s">
        <v>16</v>
      </c>
      <c r="E295" s="56">
        <v>3000</v>
      </c>
      <c r="F295" s="56">
        <v>2726</v>
      </c>
      <c r="G295" s="56">
        <f t="shared" si="12"/>
        <v>90.86666666666666</v>
      </c>
      <c r="H295" s="57">
        <v>100</v>
      </c>
      <c r="I295" s="48"/>
      <c r="J295" s="23" t="s">
        <v>343</v>
      </c>
      <c r="K295" s="14"/>
    </row>
    <row r="296" spans="1:11" ht="20.25" customHeight="1" x14ac:dyDescent="0.25">
      <c r="A296" s="10"/>
      <c r="B296" s="61" t="s">
        <v>22</v>
      </c>
      <c r="C296" s="62"/>
      <c r="D296" s="17"/>
      <c r="E296" s="56">
        <v>3000</v>
      </c>
      <c r="F296" s="56">
        <v>2726</v>
      </c>
      <c r="G296" s="56">
        <f t="shared" si="12"/>
        <v>90.86666666666666</v>
      </c>
      <c r="H296" s="57"/>
      <c r="I296" s="48"/>
      <c r="J296" s="48"/>
      <c r="K296" s="14"/>
    </row>
    <row r="297" spans="1:11" ht="198.75" customHeight="1" x14ac:dyDescent="0.25">
      <c r="A297" s="10">
        <v>102</v>
      </c>
      <c r="B297" s="55" t="s">
        <v>200</v>
      </c>
      <c r="C297" s="62" t="s">
        <v>204</v>
      </c>
      <c r="D297" s="17" t="s">
        <v>16</v>
      </c>
      <c r="E297" s="56">
        <v>20000</v>
      </c>
      <c r="F297" s="56">
        <v>0</v>
      </c>
      <c r="G297" s="56">
        <f t="shared" si="12"/>
        <v>0</v>
      </c>
      <c r="H297" s="57">
        <v>0</v>
      </c>
      <c r="I297" s="55" t="s">
        <v>398</v>
      </c>
      <c r="J297" s="23" t="s">
        <v>343</v>
      </c>
      <c r="K297" s="55" t="s">
        <v>376</v>
      </c>
    </row>
    <row r="298" spans="1:11" ht="20.25" customHeight="1" x14ac:dyDescent="0.25">
      <c r="A298" s="10"/>
      <c r="B298" s="61" t="s">
        <v>22</v>
      </c>
      <c r="C298" s="62"/>
      <c r="D298" s="17"/>
      <c r="E298" s="56">
        <v>20000</v>
      </c>
      <c r="F298" s="56">
        <v>0</v>
      </c>
      <c r="G298" s="56">
        <f t="shared" si="12"/>
        <v>0</v>
      </c>
      <c r="H298" s="57"/>
      <c r="I298" s="48"/>
      <c r="J298" s="23"/>
      <c r="K298" s="14"/>
    </row>
    <row r="299" spans="1:11" ht="113.25" customHeight="1" x14ac:dyDescent="0.25">
      <c r="A299" s="10">
        <v>103</v>
      </c>
      <c r="B299" s="55" t="s">
        <v>192</v>
      </c>
      <c r="C299" s="62" t="s">
        <v>204</v>
      </c>
      <c r="D299" s="17" t="s">
        <v>45</v>
      </c>
      <c r="E299" s="56">
        <v>20000</v>
      </c>
      <c r="F299" s="56">
        <v>12514.4</v>
      </c>
      <c r="G299" s="56">
        <f t="shared" si="12"/>
        <v>62.571999999999996</v>
      </c>
      <c r="H299" s="57">
        <v>100</v>
      </c>
      <c r="I299" s="55"/>
      <c r="J299" s="23" t="s">
        <v>402</v>
      </c>
      <c r="K299" s="14"/>
    </row>
    <row r="300" spans="1:11" ht="20.25" customHeight="1" x14ac:dyDescent="0.25">
      <c r="A300" s="10"/>
      <c r="B300" s="61" t="s">
        <v>22</v>
      </c>
      <c r="C300" s="62"/>
      <c r="D300" s="17"/>
      <c r="E300" s="56">
        <v>20000</v>
      </c>
      <c r="F300" s="56">
        <v>12514.4</v>
      </c>
      <c r="G300" s="56">
        <f t="shared" si="12"/>
        <v>62.571999999999996</v>
      </c>
      <c r="H300" s="57"/>
      <c r="I300" s="48"/>
      <c r="J300" s="48"/>
      <c r="K300" s="14"/>
    </row>
    <row r="301" spans="1:11" ht="103.5" customHeight="1" x14ac:dyDescent="0.25">
      <c r="A301" s="10">
        <v>104</v>
      </c>
      <c r="B301" s="55" t="s">
        <v>403</v>
      </c>
      <c r="C301" s="67" t="s">
        <v>204</v>
      </c>
      <c r="D301" s="68">
        <v>2016</v>
      </c>
      <c r="E301" s="69">
        <v>15000</v>
      </c>
      <c r="F301" s="69">
        <v>85795.25</v>
      </c>
      <c r="G301" s="69">
        <f t="shared" si="12"/>
        <v>571.96833333333336</v>
      </c>
      <c r="H301" s="70">
        <v>100</v>
      </c>
      <c r="I301" s="55"/>
      <c r="J301" s="37" t="s">
        <v>380</v>
      </c>
      <c r="K301" s="14"/>
    </row>
    <row r="302" spans="1:11" ht="33.75" customHeight="1" x14ac:dyDescent="0.25">
      <c r="A302" s="10"/>
      <c r="B302" s="61" t="s">
        <v>139</v>
      </c>
      <c r="C302" s="62"/>
      <c r="D302" s="17"/>
      <c r="E302" s="56">
        <v>15000</v>
      </c>
      <c r="F302" s="69">
        <v>85795.25</v>
      </c>
      <c r="G302" s="69">
        <f t="shared" si="12"/>
        <v>571.96833333333336</v>
      </c>
      <c r="H302" s="57"/>
      <c r="I302" s="55"/>
      <c r="J302" s="48"/>
      <c r="K302" s="14"/>
    </row>
    <row r="303" spans="1:11" ht="195.75" customHeight="1" x14ac:dyDescent="0.25">
      <c r="A303" s="10">
        <v>105</v>
      </c>
      <c r="B303" s="55" t="s">
        <v>194</v>
      </c>
      <c r="C303" s="62" t="s">
        <v>204</v>
      </c>
      <c r="D303" s="17" t="s">
        <v>16</v>
      </c>
      <c r="E303" s="56">
        <v>25000</v>
      </c>
      <c r="F303" s="56">
        <v>0</v>
      </c>
      <c r="G303" s="56">
        <f t="shared" si="12"/>
        <v>0</v>
      </c>
      <c r="H303" s="57">
        <v>0</v>
      </c>
      <c r="I303" s="55" t="s">
        <v>404</v>
      </c>
      <c r="J303" s="23" t="s">
        <v>343</v>
      </c>
      <c r="K303" s="55" t="s">
        <v>376</v>
      </c>
    </row>
    <row r="304" spans="1:11" ht="20.25" customHeight="1" x14ac:dyDescent="0.25">
      <c r="A304" s="10"/>
      <c r="B304" s="61" t="s">
        <v>22</v>
      </c>
      <c r="C304" s="62"/>
      <c r="D304" s="17"/>
      <c r="E304" s="56">
        <v>25000</v>
      </c>
      <c r="F304" s="56">
        <v>0</v>
      </c>
      <c r="G304" s="56">
        <f t="shared" si="12"/>
        <v>0</v>
      </c>
      <c r="H304" s="57"/>
      <c r="I304" s="48"/>
      <c r="J304" s="48"/>
      <c r="K304" s="14"/>
    </row>
    <row r="305" spans="1:11" ht="94.5" x14ac:dyDescent="0.25">
      <c r="A305" s="10">
        <v>106</v>
      </c>
      <c r="B305" s="55" t="s">
        <v>203</v>
      </c>
      <c r="C305" s="62" t="s">
        <v>204</v>
      </c>
      <c r="D305" s="17" t="s">
        <v>175</v>
      </c>
      <c r="E305" s="56">
        <v>2000</v>
      </c>
      <c r="F305" s="56">
        <v>1999</v>
      </c>
      <c r="G305" s="56">
        <f t="shared" si="12"/>
        <v>99.95</v>
      </c>
      <c r="H305" s="57">
        <v>100</v>
      </c>
      <c r="I305" s="48"/>
      <c r="J305" s="23" t="s">
        <v>386</v>
      </c>
      <c r="K305" s="14"/>
    </row>
    <row r="306" spans="1:11" ht="17.25" customHeight="1" x14ac:dyDescent="0.25">
      <c r="A306" s="10"/>
      <c r="B306" s="61" t="s">
        <v>22</v>
      </c>
      <c r="C306" s="62"/>
      <c r="D306" s="17"/>
      <c r="E306" s="56">
        <v>2000</v>
      </c>
      <c r="F306" s="56">
        <v>1999</v>
      </c>
      <c r="G306" s="56">
        <f t="shared" si="12"/>
        <v>99.95</v>
      </c>
      <c r="H306" s="57"/>
      <c r="I306" s="48"/>
      <c r="J306" s="48"/>
      <c r="K306" s="14"/>
    </row>
    <row r="307" spans="1:11" ht="194.25" customHeight="1" x14ac:dyDescent="0.25">
      <c r="A307" s="10">
        <v>107</v>
      </c>
      <c r="B307" s="55" t="s">
        <v>187</v>
      </c>
      <c r="C307" s="62" t="s">
        <v>206</v>
      </c>
      <c r="D307" s="17" t="s">
        <v>16</v>
      </c>
      <c r="E307" s="56">
        <v>9000</v>
      </c>
      <c r="F307" s="56">
        <v>0</v>
      </c>
      <c r="G307" s="56">
        <f t="shared" si="12"/>
        <v>0</v>
      </c>
      <c r="H307" s="57">
        <v>0</v>
      </c>
      <c r="I307" s="55" t="s">
        <v>405</v>
      </c>
      <c r="J307" s="23" t="s">
        <v>343</v>
      </c>
      <c r="K307" s="55" t="s">
        <v>376</v>
      </c>
    </row>
    <row r="308" spans="1:11" ht="17.25" customHeight="1" x14ac:dyDescent="0.25">
      <c r="A308" s="10"/>
      <c r="B308" s="61" t="s">
        <v>22</v>
      </c>
      <c r="C308" s="62"/>
      <c r="D308" s="17"/>
      <c r="E308" s="56">
        <v>9000</v>
      </c>
      <c r="F308" s="56">
        <v>0</v>
      </c>
      <c r="G308" s="56">
        <f t="shared" si="12"/>
        <v>0</v>
      </c>
      <c r="H308" s="57"/>
      <c r="I308" s="48"/>
      <c r="J308" s="14"/>
      <c r="K308" s="14"/>
    </row>
    <row r="309" spans="1:11" ht="198" customHeight="1" x14ac:dyDescent="0.25">
      <c r="A309" s="10">
        <v>108</v>
      </c>
      <c r="B309" s="55" t="s">
        <v>188</v>
      </c>
      <c r="C309" s="62" t="s">
        <v>206</v>
      </c>
      <c r="D309" s="17" t="s">
        <v>177</v>
      </c>
      <c r="E309" s="56">
        <v>5000</v>
      </c>
      <c r="F309" s="56">
        <v>0</v>
      </c>
      <c r="G309" s="56">
        <f t="shared" si="12"/>
        <v>0</v>
      </c>
      <c r="H309" s="57">
        <v>0</v>
      </c>
      <c r="I309" s="55" t="s">
        <v>405</v>
      </c>
      <c r="J309" s="23" t="s">
        <v>388</v>
      </c>
      <c r="K309" s="55" t="s">
        <v>376</v>
      </c>
    </row>
    <row r="310" spans="1:11" ht="17.25" customHeight="1" x14ac:dyDescent="0.25">
      <c r="A310" s="10"/>
      <c r="B310" s="61" t="s">
        <v>22</v>
      </c>
      <c r="C310" s="62"/>
      <c r="D310" s="17"/>
      <c r="E310" s="56">
        <v>5000</v>
      </c>
      <c r="F310" s="56">
        <v>0</v>
      </c>
      <c r="G310" s="56">
        <f t="shared" si="12"/>
        <v>0</v>
      </c>
      <c r="H310" s="57"/>
      <c r="I310" s="48"/>
      <c r="J310" s="14"/>
      <c r="K310" s="14"/>
    </row>
    <row r="311" spans="1:11" ht="201" customHeight="1" x14ac:dyDescent="0.25">
      <c r="A311" s="10">
        <v>109</v>
      </c>
      <c r="B311" s="55" t="s">
        <v>201</v>
      </c>
      <c r="C311" s="62" t="s">
        <v>206</v>
      </c>
      <c r="D311" s="17" t="s">
        <v>16</v>
      </c>
      <c r="E311" s="56">
        <v>10000</v>
      </c>
      <c r="F311" s="56">
        <v>0</v>
      </c>
      <c r="G311" s="56">
        <f t="shared" si="12"/>
        <v>0</v>
      </c>
      <c r="H311" s="57">
        <v>0</v>
      </c>
      <c r="I311" s="55" t="s">
        <v>405</v>
      </c>
      <c r="J311" s="23" t="s">
        <v>343</v>
      </c>
      <c r="K311" s="55" t="s">
        <v>376</v>
      </c>
    </row>
    <row r="312" spans="1:11" ht="17.25" customHeight="1" x14ac:dyDescent="0.25">
      <c r="A312" s="10"/>
      <c r="B312" s="61" t="s">
        <v>22</v>
      </c>
      <c r="C312" s="62"/>
      <c r="D312" s="17"/>
      <c r="E312" s="56">
        <v>10000</v>
      </c>
      <c r="F312" s="56">
        <v>0</v>
      </c>
      <c r="G312" s="56">
        <f t="shared" si="12"/>
        <v>0</v>
      </c>
      <c r="H312" s="57"/>
      <c r="I312" s="48"/>
      <c r="J312" s="14"/>
      <c r="K312" s="14"/>
    </row>
    <row r="313" spans="1:11" ht="101.25" customHeight="1" x14ac:dyDescent="0.25">
      <c r="A313" s="10">
        <v>110</v>
      </c>
      <c r="B313" s="55" t="s">
        <v>406</v>
      </c>
      <c r="C313" s="62" t="s">
        <v>206</v>
      </c>
      <c r="D313" s="17">
        <v>2016</v>
      </c>
      <c r="E313" s="56" t="s">
        <v>392</v>
      </c>
      <c r="F313" s="56">
        <v>0</v>
      </c>
      <c r="G313" s="56">
        <v>0</v>
      </c>
      <c r="H313" s="57">
        <v>100</v>
      </c>
      <c r="I313" s="48"/>
      <c r="J313" s="37" t="s">
        <v>380</v>
      </c>
      <c r="K313" s="14"/>
    </row>
    <row r="314" spans="1:11" ht="129" customHeight="1" x14ac:dyDescent="0.25">
      <c r="A314" s="10">
        <v>111</v>
      </c>
      <c r="B314" s="55" t="s">
        <v>200</v>
      </c>
      <c r="C314" s="62" t="s">
        <v>206</v>
      </c>
      <c r="D314" s="17" t="s">
        <v>16</v>
      </c>
      <c r="E314" s="56">
        <v>11000</v>
      </c>
      <c r="F314" s="56">
        <v>5299.25</v>
      </c>
      <c r="G314" s="56">
        <f t="shared" si="12"/>
        <v>48.175000000000004</v>
      </c>
      <c r="H314" s="57">
        <v>100</v>
      </c>
      <c r="I314" s="55"/>
      <c r="J314" s="23" t="s">
        <v>343</v>
      </c>
      <c r="K314" s="14"/>
    </row>
    <row r="315" spans="1:11" ht="17.25" customHeight="1" x14ac:dyDescent="0.25">
      <c r="A315" s="10"/>
      <c r="B315" s="61" t="s">
        <v>22</v>
      </c>
      <c r="C315" s="62"/>
      <c r="D315" s="17"/>
      <c r="E315" s="56">
        <v>11000</v>
      </c>
      <c r="F315" s="56">
        <v>5299.25</v>
      </c>
      <c r="G315" s="56">
        <f t="shared" si="12"/>
        <v>48.175000000000004</v>
      </c>
      <c r="H315" s="57"/>
      <c r="I315" s="48"/>
      <c r="J315" s="14"/>
      <c r="K315" s="14"/>
    </row>
    <row r="316" spans="1:11" ht="193.5" customHeight="1" x14ac:dyDescent="0.25">
      <c r="A316" s="10">
        <v>112</v>
      </c>
      <c r="B316" s="55" t="s">
        <v>191</v>
      </c>
      <c r="C316" s="62" t="s">
        <v>206</v>
      </c>
      <c r="D316" s="17" t="s">
        <v>207</v>
      </c>
      <c r="E316" s="56">
        <v>2000</v>
      </c>
      <c r="F316" s="56">
        <v>0</v>
      </c>
      <c r="G316" s="56">
        <f t="shared" si="12"/>
        <v>0</v>
      </c>
      <c r="H316" s="57">
        <v>0</v>
      </c>
      <c r="I316" s="55" t="s">
        <v>405</v>
      </c>
      <c r="J316" s="23" t="s">
        <v>393</v>
      </c>
      <c r="K316" s="55" t="s">
        <v>376</v>
      </c>
    </row>
    <row r="317" spans="1:11" ht="17.25" customHeight="1" x14ac:dyDescent="0.25">
      <c r="A317" s="10"/>
      <c r="B317" s="61" t="s">
        <v>22</v>
      </c>
      <c r="C317" s="62"/>
      <c r="D317" s="17"/>
      <c r="E317" s="56">
        <v>2000</v>
      </c>
      <c r="F317" s="56">
        <v>0</v>
      </c>
      <c r="G317" s="56">
        <f t="shared" si="12"/>
        <v>0</v>
      </c>
      <c r="H317" s="57"/>
      <c r="I317" s="48"/>
      <c r="J317" s="14"/>
      <c r="K317" s="14"/>
    </row>
    <row r="318" spans="1:11" ht="196.5" customHeight="1" x14ac:dyDescent="0.25">
      <c r="A318" s="10">
        <v>113</v>
      </c>
      <c r="B318" s="55" t="s">
        <v>203</v>
      </c>
      <c r="C318" s="62" t="s">
        <v>206</v>
      </c>
      <c r="D318" s="17" t="s">
        <v>400</v>
      </c>
      <c r="E318" s="56">
        <v>7000</v>
      </c>
      <c r="F318" s="56">
        <v>0</v>
      </c>
      <c r="G318" s="56">
        <f t="shared" si="12"/>
        <v>0</v>
      </c>
      <c r="H318" s="57">
        <v>0</v>
      </c>
      <c r="I318" s="55" t="s">
        <v>405</v>
      </c>
      <c r="J318" s="23" t="s">
        <v>401</v>
      </c>
      <c r="K318" s="55" t="s">
        <v>376</v>
      </c>
    </row>
    <row r="319" spans="1:11" ht="17.25" customHeight="1" x14ac:dyDescent="0.25">
      <c r="A319" s="10"/>
      <c r="B319" s="61" t="s">
        <v>22</v>
      </c>
      <c r="C319" s="62"/>
      <c r="D319" s="17"/>
      <c r="E319" s="56">
        <v>7000</v>
      </c>
      <c r="F319" s="56">
        <v>0</v>
      </c>
      <c r="G319" s="56">
        <f t="shared" si="12"/>
        <v>0</v>
      </c>
      <c r="H319" s="57"/>
      <c r="I319" s="48"/>
      <c r="J319" s="14"/>
      <c r="K319" s="14"/>
    </row>
    <row r="320" spans="1:11" ht="97.5" customHeight="1" x14ac:dyDescent="0.25">
      <c r="A320" s="10">
        <v>114</v>
      </c>
      <c r="B320" s="55" t="s">
        <v>187</v>
      </c>
      <c r="C320" s="62" t="s">
        <v>208</v>
      </c>
      <c r="D320" s="17" t="s">
        <v>400</v>
      </c>
      <c r="E320" s="56">
        <v>2400</v>
      </c>
      <c r="F320" s="56">
        <v>2400</v>
      </c>
      <c r="G320" s="56">
        <f t="shared" si="12"/>
        <v>100</v>
      </c>
      <c r="H320" s="57">
        <v>100</v>
      </c>
      <c r="I320" s="48"/>
      <c r="J320" s="23" t="s">
        <v>401</v>
      </c>
      <c r="K320" s="14"/>
    </row>
    <row r="321" spans="1:12" ht="17.25" customHeight="1" x14ac:dyDescent="0.25">
      <c r="A321" s="10"/>
      <c r="B321" s="61" t="s">
        <v>22</v>
      </c>
      <c r="C321" s="62"/>
      <c r="D321" s="17"/>
      <c r="E321" s="56">
        <v>2400</v>
      </c>
      <c r="F321" s="56">
        <v>2400</v>
      </c>
      <c r="G321" s="56">
        <f t="shared" si="12"/>
        <v>100</v>
      </c>
      <c r="H321" s="57"/>
      <c r="I321" s="48"/>
      <c r="J321" s="14"/>
      <c r="K321" s="14"/>
    </row>
    <row r="322" spans="1:12" ht="201.75" customHeight="1" x14ac:dyDescent="0.25">
      <c r="A322" s="10">
        <v>115</v>
      </c>
      <c r="B322" s="71" t="s">
        <v>209</v>
      </c>
      <c r="C322" s="62" t="s">
        <v>208</v>
      </c>
      <c r="D322" s="17" t="s">
        <v>16</v>
      </c>
      <c r="E322" s="56">
        <v>3000</v>
      </c>
      <c r="F322" s="56">
        <v>1799.83</v>
      </c>
      <c r="G322" s="56">
        <f t="shared" si="12"/>
        <v>59.99433333333333</v>
      </c>
      <c r="H322" s="57">
        <v>59.99</v>
      </c>
      <c r="I322" s="55" t="s">
        <v>407</v>
      </c>
      <c r="J322" s="23" t="s">
        <v>343</v>
      </c>
      <c r="K322" s="55" t="s">
        <v>376</v>
      </c>
    </row>
    <row r="323" spans="1:12" ht="17.25" customHeight="1" x14ac:dyDescent="0.25">
      <c r="A323" s="10"/>
      <c r="B323" s="61" t="s">
        <v>22</v>
      </c>
      <c r="C323" s="62"/>
      <c r="D323" s="17"/>
      <c r="E323" s="56">
        <v>3000</v>
      </c>
      <c r="F323" s="56">
        <v>1799.83</v>
      </c>
      <c r="G323" s="56">
        <f t="shared" si="12"/>
        <v>59.99433333333333</v>
      </c>
      <c r="H323" s="57"/>
      <c r="I323" s="48"/>
      <c r="J323" s="14"/>
      <c r="K323" s="14"/>
    </row>
    <row r="324" spans="1:12" ht="83.25" customHeight="1" x14ac:dyDescent="0.25">
      <c r="A324" s="10">
        <v>116</v>
      </c>
      <c r="B324" s="55" t="s">
        <v>408</v>
      </c>
      <c r="C324" s="62" t="s">
        <v>208</v>
      </c>
      <c r="D324" s="17" t="s">
        <v>400</v>
      </c>
      <c r="E324" s="56">
        <v>2000</v>
      </c>
      <c r="F324" s="56">
        <v>1962</v>
      </c>
      <c r="G324" s="56">
        <f t="shared" si="12"/>
        <v>98.1</v>
      </c>
      <c r="H324" s="57">
        <v>100</v>
      </c>
      <c r="I324" s="48"/>
      <c r="J324" s="23" t="s">
        <v>401</v>
      </c>
      <c r="K324" s="14"/>
    </row>
    <row r="325" spans="1:12" ht="17.25" customHeight="1" x14ac:dyDescent="0.25">
      <c r="A325" s="10"/>
      <c r="B325" s="61" t="s">
        <v>22</v>
      </c>
      <c r="C325" s="62"/>
      <c r="D325" s="17"/>
      <c r="E325" s="56">
        <v>2000</v>
      </c>
      <c r="F325" s="56">
        <v>1962</v>
      </c>
      <c r="G325" s="56">
        <f t="shared" si="12"/>
        <v>98.1</v>
      </c>
      <c r="H325" s="57"/>
      <c r="I325" s="48"/>
      <c r="J325" s="14"/>
      <c r="K325" s="14"/>
    </row>
    <row r="326" spans="1:12" ht="103.5" customHeight="1" x14ac:dyDescent="0.25">
      <c r="A326" s="10">
        <v>117</v>
      </c>
      <c r="B326" s="55" t="s">
        <v>203</v>
      </c>
      <c r="C326" s="62" t="s">
        <v>208</v>
      </c>
      <c r="D326" s="17" t="s">
        <v>370</v>
      </c>
      <c r="E326" s="56">
        <v>0</v>
      </c>
      <c r="F326" s="56">
        <v>0</v>
      </c>
      <c r="G326" s="56"/>
      <c r="H326" s="57"/>
      <c r="I326" s="48"/>
      <c r="J326" s="14"/>
      <c r="K326" s="14"/>
    </row>
    <row r="327" spans="1:12" ht="17.25" customHeight="1" x14ac:dyDescent="0.25">
      <c r="A327" s="10"/>
      <c r="B327" s="61" t="s">
        <v>22</v>
      </c>
      <c r="C327" s="62"/>
      <c r="D327" s="17"/>
      <c r="E327" s="56"/>
      <c r="F327" s="56"/>
      <c r="G327" s="56"/>
      <c r="H327" s="57"/>
      <c r="I327" s="48"/>
      <c r="J327" s="14"/>
      <c r="K327" s="14"/>
    </row>
    <row r="328" spans="1:12" ht="81.75" customHeight="1" x14ac:dyDescent="0.25">
      <c r="A328" s="10">
        <v>118</v>
      </c>
      <c r="B328" s="55" t="s">
        <v>201</v>
      </c>
      <c r="C328" s="62" t="s">
        <v>210</v>
      </c>
      <c r="D328" s="17" t="s">
        <v>211</v>
      </c>
      <c r="E328" s="56">
        <v>5000</v>
      </c>
      <c r="F328" s="56">
        <v>4824.3599999999997</v>
      </c>
      <c r="G328" s="56">
        <f t="shared" ref="G328:G333" si="13">F328/E328*100</f>
        <v>96.487200000000001</v>
      </c>
      <c r="H328" s="57">
        <v>100</v>
      </c>
      <c r="I328" s="48"/>
      <c r="J328" s="23" t="s">
        <v>409</v>
      </c>
      <c r="K328" s="14"/>
    </row>
    <row r="329" spans="1:12" ht="17.25" customHeight="1" x14ac:dyDescent="0.25">
      <c r="A329" s="10"/>
      <c r="B329" s="61" t="s">
        <v>22</v>
      </c>
      <c r="C329" s="62"/>
      <c r="D329" s="17"/>
      <c r="E329" s="56">
        <v>5000</v>
      </c>
      <c r="F329" s="56">
        <v>4824.3599999999997</v>
      </c>
      <c r="G329" s="56">
        <f t="shared" si="13"/>
        <v>96.487200000000001</v>
      </c>
      <c r="H329" s="57"/>
      <c r="I329" s="48"/>
      <c r="J329" s="48"/>
      <c r="K329" s="14"/>
    </row>
    <row r="330" spans="1:12" ht="17.25" customHeight="1" x14ac:dyDescent="0.25">
      <c r="A330" s="10"/>
      <c r="B330" s="28" t="s">
        <v>54</v>
      </c>
      <c r="C330" s="62"/>
      <c r="D330" s="17"/>
      <c r="E330" s="72">
        <f>E331+E332+E333</f>
        <v>3951212.8</v>
      </c>
      <c r="F330" s="72">
        <f>F331+F332+F333</f>
        <v>4664181.66</v>
      </c>
      <c r="G330" s="72">
        <f t="shared" si="13"/>
        <v>118.0443042703243</v>
      </c>
      <c r="H330" s="57"/>
      <c r="I330" s="48"/>
      <c r="J330" s="48"/>
      <c r="K330" s="14"/>
    </row>
    <row r="331" spans="1:12" ht="17.25" customHeight="1" x14ac:dyDescent="0.25">
      <c r="A331" s="10"/>
      <c r="B331" s="24" t="s">
        <v>13</v>
      </c>
      <c r="C331" s="62"/>
      <c r="D331" s="17"/>
      <c r="E331" s="281">
        <f>E160+E162+E164+E166+E168+E170+E172+E174+E176+E178+E180+E185+E187+E189+E191+E193+E207+E209+E211+E213+E215+E217+E219+E221+E223+E225+E227+E229</f>
        <v>3487432.8</v>
      </c>
      <c r="F331" s="281">
        <f>F160+F162+F164+F166+F168+F170+F172+F174+F176+F178+F180+F185+F187+F189+F191+F193+F207+F209+F211+F213+F215+F217+F219+F221+F223+F225+F227+F229</f>
        <v>3187810.56</v>
      </c>
      <c r="G331" s="56">
        <f t="shared" si="13"/>
        <v>91.408515742582921</v>
      </c>
      <c r="H331" s="57"/>
      <c r="I331" s="48"/>
      <c r="J331" s="48"/>
      <c r="K331" s="14"/>
    </row>
    <row r="332" spans="1:12" ht="17.25" customHeight="1" x14ac:dyDescent="0.25">
      <c r="A332" s="10"/>
      <c r="B332" s="61" t="s">
        <v>22</v>
      </c>
      <c r="C332" s="62"/>
      <c r="D332" s="17"/>
      <c r="E332" s="281">
        <f>E232+E234+E236+E241+E243+E247+E251+E253+E255+E257+E259+E262+E264+E266+E268+E270+E272+E274+E276+E279+E281+E283+E285+E287+E290+E292+E294+E296+E298+E300+E304+E306+E308+E310+E312+E315+E317+E319+E321+E323+E325+E329+E249</f>
        <v>406780</v>
      </c>
      <c r="F332" s="281">
        <f>F232+F234+F236+F241+F243+F247+F251+F253+F255+F257+F259+F262+F264+F266+F268+F270+F272+F274+F276+F279+F281+F283+F285+F287+F290+F292+F294+F296+F298+F300+F304+F306+F308+F310+F312+F315+F317+F319+F321+F323+F325+F329+F249</f>
        <v>263840.84999999998</v>
      </c>
      <c r="G332" s="56">
        <f t="shared" si="13"/>
        <v>64.860821574315352</v>
      </c>
      <c r="H332" s="57"/>
      <c r="I332" s="48"/>
      <c r="J332" s="48"/>
      <c r="K332" s="14"/>
    </row>
    <row r="333" spans="1:12" ht="34.5" customHeight="1" x14ac:dyDescent="0.25">
      <c r="A333" s="10"/>
      <c r="B333" s="61" t="s">
        <v>139</v>
      </c>
      <c r="C333" s="62"/>
      <c r="D333" s="17"/>
      <c r="E333" s="281">
        <f>E302+E245+E239</f>
        <v>57000</v>
      </c>
      <c r="F333" s="281">
        <f>F302+F245+F239</f>
        <v>1212530.25</v>
      </c>
      <c r="G333" s="56">
        <f t="shared" si="13"/>
        <v>2127.246052631579</v>
      </c>
      <c r="H333" s="57"/>
      <c r="I333" s="48"/>
      <c r="J333" s="48"/>
      <c r="K333" s="14"/>
    </row>
    <row r="334" spans="1:12" ht="26.25" customHeight="1" x14ac:dyDescent="0.25">
      <c r="A334" s="541" t="s">
        <v>212</v>
      </c>
      <c r="B334" s="541"/>
      <c r="C334" s="541"/>
      <c r="D334" s="541"/>
      <c r="E334" s="541"/>
      <c r="F334" s="541"/>
      <c r="G334" s="541"/>
      <c r="H334" s="541"/>
      <c r="I334" s="541"/>
      <c r="J334" s="541"/>
      <c r="K334" s="541"/>
    </row>
    <row r="335" spans="1:12" ht="102.75" customHeight="1" x14ac:dyDescent="0.25">
      <c r="A335" s="10">
        <v>119</v>
      </c>
      <c r="B335" s="55" t="s">
        <v>213</v>
      </c>
      <c r="C335" s="62" t="s">
        <v>149</v>
      </c>
      <c r="D335" s="17" t="s">
        <v>16</v>
      </c>
      <c r="E335" s="56">
        <v>5100</v>
      </c>
      <c r="F335" s="56">
        <v>5680</v>
      </c>
      <c r="G335" s="56">
        <f>F335/E335*100</f>
        <v>111.37254901960785</v>
      </c>
      <c r="H335" s="57">
        <v>100</v>
      </c>
      <c r="I335" s="48"/>
      <c r="J335" s="23" t="s">
        <v>343</v>
      </c>
      <c r="K335" s="529">
        <f>E365+E371+E388+E381</f>
        <v>14626.5</v>
      </c>
      <c r="L335" s="529">
        <f>F365+F371+F388+F381</f>
        <v>12967.89</v>
      </c>
    </row>
    <row r="336" spans="1:12" ht="15.75" customHeight="1" x14ac:dyDescent="0.25">
      <c r="A336" s="10"/>
      <c r="B336" s="61" t="s">
        <v>19</v>
      </c>
      <c r="C336" s="62"/>
      <c r="D336" s="17"/>
      <c r="E336" s="56">
        <v>5100</v>
      </c>
      <c r="F336" s="56">
        <v>5680</v>
      </c>
      <c r="G336" s="56">
        <f t="shared" ref="G336:G402" si="14">F336/E336*100</f>
        <v>111.37254901960785</v>
      </c>
      <c r="H336" s="57"/>
      <c r="I336" s="48"/>
      <c r="J336" s="48"/>
      <c r="K336" s="14"/>
    </row>
    <row r="337" spans="1:11" ht="18.75" customHeight="1" x14ac:dyDescent="0.25">
      <c r="A337" s="10"/>
      <c r="B337" s="55" t="s">
        <v>155</v>
      </c>
      <c r="C337" s="62"/>
      <c r="D337" s="17"/>
      <c r="E337" s="56"/>
      <c r="F337" s="56"/>
      <c r="G337" s="56"/>
      <c r="H337" s="57"/>
      <c r="I337" s="48"/>
      <c r="J337" s="48"/>
      <c r="K337" s="14"/>
    </row>
    <row r="338" spans="1:11" ht="19.5" customHeight="1" x14ac:dyDescent="0.25">
      <c r="A338" s="10"/>
      <c r="B338" s="55" t="s">
        <v>164</v>
      </c>
      <c r="C338" s="62"/>
      <c r="D338" s="17"/>
      <c r="E338" s="56">
        <v>4000</v>
      </c>
      <c r="F338" s="56">
        <v>4000</v>
      </c>
      <c r="G338" s="56">
        <f t="shared" si="14"/>
        <v>100</v>
      </c>
      <c r="H338" s="57"/>
      <c r="I338" s="48"/>
      <c r="J338" s="48"/>
      <c r="K338" s="14"/>
    </row>
    <row r="339" spans="1:11" ht="18.75" customHeight="1" x14ac:dyDescent="0.25">
      <c r="A339" s="10"/>
      <c r="B339" s="55" t="s">
        <v>214</v>
      </c>
      <c r="C339" s="62"/>
      <c r="D339" s="17"/>
      <c r="E339" s="56">
        <v>800</v>
      </c>
      <c r="F339" s="56">
        <v>1380</v>
      </c>
      <c r="G339" s="56">
        <f t="shared" si="14"/>
        <v>172.5</v>
      </c>
      <c r="H339" s="57"/>
      <c r="I339" s="48"/>
      <c r="J339" s="48"/>
      <c r="K339" s="14"/>
    </row>
    <row r="340" spans="1:11" ht="32.25" customHeight="1" x14ac:dyDescent="0.25">
      <c r="A340" s="10"/>
      <c r="B340" s="55" t="s">
        <v>215</v>
      </c>
      <c r="C340" s="62"/>
      <c r="D340" s="17"/>
      <c r="E340" s="56">
        <v>300</v>
      </c>
      <c r="F340" s="56">
        <v>300</v>
      </c>
      <c r="G340" s="56">
        <f t="shared" si="14"/>
        <v>100</v>
      </c>
      <c r="H340" s="57"/>
      <c r="I340" s="48"/>
      <c r="J340" s="48"/>
      <c r="K340" s="14"/>
    </row>
    <row r="341" spans="1:11" ht="69.75" customHeight="1" x14ac:dyDescent="0.25">
      <c r="A341" s="10">
        <v>120</v>
      </c>
      <c r="B341" s="55" t="s">
        <v>216</v>
      </c>
      <c r="C341" s="62" t="s">
        <v>149</v>
      </c>
      <c r="D341" s="17" t="s">
        <v>16</v>
      </c>
      <c r="E341" s="56">
        <v>1800</v>
      </c>
      <c r="F341" s="56">
        <v>1930</v>
      </c>
      <c r="G341" s="56">
        <f t="shared" si="14"/>
        <v>107.22222222222221</v>
      </c>
      <c r="H341" s="57">
        <v>100</v>
      </c>
      <c r="I341" s="48"/>
      <c r="J341" s="23" t="s">
        <v>343</v>
      </c>
      <c r="K341" s="14"/>
    </row>
    <row r="342" spans="1:11" ht="15.75" customHeight="1" x14ac:dyDescent="0.25">
      <c r="A342" s="10"/>
      <c r="B342" s="61" t="s">
        <v>19</v>
      </c>
      <c r="C342" s="62"/>
      <c r="D342" s="17"/>
      <c r="E342" s="56">
        <v>1800</v>
      </c>
      <c r="F342" s="56">
        <v>1930</v>
      </c>
      <c r="G342" s="56">
        <f t="shared" si="14"/>
        <v>107.22222222222221</v>
      </c>
      <c r="H342" s="57"/>
      <c r="I342" s="48"/>
      <c r="J342" s="48"/>
      <c r="K342" s="14"/>
    </row>
    <row r="343" spans="1:11" ht="22.5" customHeight="1" x14ac:dyDescent="0.25">
      <c r="A343" s="10"/>
      <c r="B343" s="55" t="s">
        <v>155</v>
      </c>
      <c r="C343" s="62"/>
      <c r="D343" s="17"/>
      <c r="E343" s="56"/>
      <c r="F343" s="56"/>
      <c r="G343" s="56"/>
      <c r="H343" s="57"/>
      <c r="I343" s="48"/>
      <c r="J343" s="48"/>
      <c r="K343" s="14"/>
    </row>
    <row r="344" spans="1:11" ht="22.5" customHeight="1" x14ac:dyDescent="0.25">
      <c r="A344" s="10"/>
      <c r="B344" s="55" t="s">
        <v>164</v>
      </c>
      <c r="C344" s="62"/>
      <c r="D344" s="17"/>
      <c r="E344" s="56">
        <v>400</v>
      </c>
      <c r="F344" s="56">
        <v>400</v>
      </c>
      <c r="G344" s="56">
        <f t="shared" si="14"/>
        <v>100</v>
      </c>
      <c r="H344" s="57"/>
      <c r="I344" s="48"/>
      <c r="J344" s="48"/>
      <c r="K344" s="14"/>
    </row>
    <row r="345" spans="1:11" ht="20.25" customHeight="1" x14ac:dyDescent="0.25">
      <c r="A345" s="10"/>
      <c r="B345" s="55" t="s">
        <v>214</v>
      </c>
      <c r="C345" s="62"/>
      <c r="D345" s="17"/>
      <c r="E345" s="56">
        <v>800</v>
      </c>
      <c r="F345" s="56">
        <v>930</v>
      </c>
      <c r="G345" s="56">
        <f t="shared" si="14"/>
        <v>116.25000000000001</v>
      </c>
      <c r="H345" s="57"/>
      <c r="I345" s="48"/>
      <c r="J345" s="48"/>
      <c r="K345" s="14"/>
    </row>
    <row r="346" spans="1:11" ht="21" customHeight="1" x14ac:dyDescent="0.25">
      <c r="A346" s="10"/>
      <c r="B346" s="55" t="s">
        <v>215</v>
      </c>
      <c r="C346" s="62"/>
      <c r="D346" s="17"/>
      <c r="E346" s="56">
        <v>600</v>
      </c>
      <c r="F346" s="56">
        <v>600</v>
      </c>
      <c r="G346" s="56">
        <f t="shared" si="14"/>
        <v>100</v>
      </c>
      <c r="H346" s="57"/>
      <c r="I346" s="48"/>
      <c r="J346" s="48"/>
      <c r="K346" s="14"/>
    </row>
    <row r="347" spans="1:11" ht="132.75" customHeight="1" x14ac:dyDescent="0.25">
      <c r="A347" s="10">
        <v>121</v>
      </c>
      <c r="B347" s="55" t="s">
        <v>217</v>
      </c>
      <c r="C347" s="62" t="s">
        <v>149</v>
      </c>
      <c r="D347" s="17" t="s">
        <v>16</v>
      </c>
      <c r="E347" s="56">
        <v>1400</v>
      </c>
      <c r="F347" s="56">
        <v>1500</v>
      </c>
      <c r="G347" s="56">
        <f t="shared" si="14"/>
        <v>107.14285714285714</v>
      </c>
      <c r="H347" s="57">
        <v>100</v>
      </c>
      <c r="I347" s="48"/>
      <c r="J347" s="23" t="s">
        <v>343</v>
      </c>
      <c r="K347" s="14"/>
    </row>
    <row r="348" spans="1:11" ht="22.5" customHeight="1" x14ac:dyDescent="0.25">
      <c r="A348" s="10"/>
      <c r="B348" s="61" t="s">
        <v>19</v>
      </c>
      <c r="C348" s="62"/>
      <c r="D348" s="17"/>
      <c r="E348" s="56">
        <v>1400</v>
      </c>
      <c r="F348" s="56">
        <v>1500</v>
      </c>
      <c r="G348" s="56">
        <f t="shared" si="14"/>
        <v>107.14285714285714</v>
      </c>
      <c r="H348" s="57"/>
      <c r="I348" s="48"/>
      <c r="J348" s="48"/>
      <c r="K348" s="14"/>
    </row>
    <row r="349" spans="1:11" ht="18.75" customHeight="1" x14ac:dyDescent="0.25">
      <c r="A349" s="10"/>
      <c r="B349" s="55" t="s">
        <v>155</v>
      </c>
      <c r="C349" s="62"/>
      <c r="D349" s="17"/>
      <c r="E349" s="56"/>
      <c r="F349" s="56"/>
      <c r="G349" s="56"/>
      <c r="H349" s="57"/>
      <c r="I349" s="48"/>
      <c r="J349" s="48"/>
      <c r="K349" s="14"/>
    </row>
    <row r="350" spans="1:11" ht="20.25" customHeight="1" x14ac:dyDescent="0.25">
      <c r="A350" s="10"/>
      <c r="B350" s="55" t="s">
        <v>164</v>
      </c>
      <c r="C350" s="62"/>
      <c r="D350" s="17"/>
      <c r="E350" s="56">
        <v>200</v>
      </c>
      <c r="F350" s="56">
        <v>200</v>
      </c>
      <c r="G350" s="56">
        <f t="shared" si="14"/>
        <v>100</v>
      </c>
      <c r="H350" s="57"/>
      <c r="I350" s="48"/>
      <c r="J350" s="48"/>
      <c r="K350" s="14"/>
    </row>
    <row r="351" spans="1:11" ht="20.25" customHeight="1" x14ac:dyDescent="0.25">
      <c r="A351" s="10"/>
      <c r="B351" s="55" t="s">
        <v>214</v>
      </c>
      <c r="C351" s="62"/>
      <c r="D351" s="17"/>
      <c r="E351" s="56">
        <v>200</v>
      </c>
      <c r="F351" s="56">
        <v>300</v>
      </c>
      <c r="G351" s="56">
        <f t="shared" si="14"/>
        <v>150</v>
      </c>
      <c r="H351" s="57"/>
      <c r="I351" s="48"/>
      <c r="J351" s="48"/>
      <c r="K351" s="14"/>
    </row>
    <row r="352" spans="1:11" ht="19.5" customHeight="1" x14ac:dyDescent="0.25">
      <c r="A352" s="10"/>
      <c r="B352" s="55" t="s">
        <v>215</v>
      </c>
      <c r="C352" s="62"/>
      <c r="D352" s="17"/>
      <c r="E352" s="56">
        <v>1000</v>
      </c>
      <c r="F352" s="56">
        <v>1000</v>
      </c>
      <c r="G352" s="56">
        <f t="shared" si="14"/>
        <v>100</v>
      </c>
      <c r="H352" s="57"/>
      <c r="I352" s="48"/>
      <c r="J352" s="48"/>
      <c r="K352" s="14"/>
    </row>
    <row r="353" spans="1:11" ht="100.5" customHeight="1" x14ac:dyDescent="0.25">
      <c r="A353" s="10">
        <v>122</v>
      </c>
      <c r="B353" s="55" t="s">
        <v>218</v>
      </c>
      <c r="C353" s="62" t="s">
        <v>149</v>
      </c>
      <c r="D353" s="17" t="s">
        <v>16</v>
      </c>
      <c r="E353" s="56">
        <v>23000</v>
      </c>
      <c r="F353" s="56">
        <v>23000</v>
      </c>
      <c r="G353" s="56">
        <f t="shared" si="14"/>
        <v>100</v>
      </c>
      <c r="H353" s="57">
        <v>100</v>
      </c>
      <c r="I353" s="48"/>
      <c r="J353" s="23" t="s">
        <v>343</v>
      </c>
      <c r="K353" s="14"/>
    </row>
    <row r="354" spans="1:11" ht="23.25" customHeight="1" x14ac:dyDescent="0.25">
      <c r="A354" s="10"/>
      <c r="B354" s="61" t="s">
        <v>19</v>
      </c>
      <c r="C354" s="62"/>
      <c r="D354" s="17"/>
      <c r="E354" s="56">
        <v>23000</v>
      </c>
      <c r="F354" s="56">
        <v>23000</v>
      </c>
      <c r="G354" s="56">
        <f t="shared" si="14"/>
        <v>100</v>
      </c>
      <c r="H354" s="57"/>
      <c r="I354" s="48"/>
      <c r="J354" s="48"/>
      <c r="K354" s="14"/>
    </row>
    <row r="355" spans="1:11" ht="18.75" customHeight="1" x14ac:dyDescent="0.25">
      <c r="A355" s="10"/>
      <c r="B355" s="55" t="s">
        <v>155</v>
      </c>
      <c r="C355" s="62"/>
      <c r="D355" s="17"/>
      <c r="E355" s="56"/>
      <c r="F355" s="56"/>
      <c r="G355" s="56"/>
      <c r="H355" s="57"/>
      <c r="I355" s="48"/>
      <c r="J355" s="48"/>
      <c r="K355" s="14"/>
    </row>
    <row r="356" spans="1:11" ht="23.25" customHeight="1" x14ac:dyDescent="0.25">
      <c r="A356" s="10"/>
      <c r="B356" s="55" t="s">
        <v>214</v>
      </c>
      <c r="C356" s="62"/>
      <c r="D356" s="17"/>
      <c r="E356" s="56">
        <v>22500</v>
      </c>
      <c r="F356" s="56">
        <v>22500</v>
      </c>
      <c r="G356" s="56">
        <f t="shared" si="14"/>
        <v>100</v>
      </c>
      <c r="H356" s="57"/>
      <c r="I356" s="48"/>
      <c r="J356" s="48"/>
      <c r="K356" s="14"/>
    </row>
    <row r="357" spans="1:11" ht="22.5" customHeight="1" x14ac:dyDescent="0.25">
      <c r="A357" s="10"/>
      <c r="B357" s="55" t="s">
        <v>215</v>
      </c>
      <c r="C357" s="62"/>
      <c r="D357" s="17"/>
      <c r="E357" s="56">
        <v>500</v>
      </c>
      <c r="F357" s="56">
        <v>500</v>
      </c>
      <c r="G357" s="56">
        <f t="shared" si="14"/>
        <v>100</v>
      </c>
      <c r="H357" s="57"/>
      <c r="I357" s="48"/>
      <c r="J357" s="48"/>
      <c r="K357" s="14"/>
    </row>
    <row r="358" spans="1:11" ht="97.5" customHeight="1" x14ac:dyDescent="0.25">
      <c r="A358" s="10">
        <v>123</v>
      </c>
      <c r="B358" s="55" t="s">
        <v>219</v>
      </c>
      <c r="C358" s="62" t="s">
        <v>149</v>
      </c>
      <c r="D358" s="17" t="s">
        <v>16</v>
      </c>
      <c r="E358" s="56">
        <v>900</v>
      </c>
      <c r="F358" s="56">
        <v>900</v>
      </c>
      <c r="G358" s="56">
        <f t="shared" si="14"/>
        <v>100</v>
      </c>
      <c r="H358" s="57">
        <v>100</v>
      </c>
      <c r="I358" s="48"/>
      <c r="J358" s="23" t="s">
        <v>343</v>
      </c>
      <c r="K358" s="14"/>
    </row>
    <row r="359" spans="1:11" ht="22.5" customHeight="1" x14ac:dyDescent="0.25">
      <c r="A359" s="10"/>
      <c r="B359" s="61" t="s">
        <v>19</v>
      </c>
      <c r="C359" s="62"/>
      <c r="D359" s="17"/>
      <c r="E359" s="56">
        <v>900</v>
      </c>
      <c r="F359" s="56">
        <v>900</v>
      </c>
      <c r="G359" s="56">
        <f t="shared" si="14"/>
        <v>100</v>
      </c>
      <c r="H359" s="57"/>
      <c r="I359" s="48"/>
      <c r="J359" s="48"/>
      <c r="K359" s="14"/>
    </row>
    <row r="360" spans="1:11" ht="21" customHeight="1" x14ac:dyDescent="0.25">
      <c r="A360" s="10"/>
      <c r="B360" s="55" t="s">
        <v>155</v>
      </c>
      <c r="C360" s="62"/>
      <c r="D360" s="17"/>
      <c r="E360" s="56"/>
      <c r="F360" s="56"/>
      <c r="G360" s="56"/>
      <c r="H360" s="57"/>
      <c r="I360" s="48"/>
      <c r="J360" s="48"/>
      <c r="K360" s="14"/>
    </row>
    <row r="361" spans="1:11" ht="23.25" customHeight="1" x14ac:dyDescent="0.25">
      <c r="A361" s="10"/>
      <c r="B361" s="55" t="s">
        <v>164</v>
      </c>
      <c r="C361" s="62"/>
      <c r="D361" s="17"/>
      <c r="E361" s="56">
        <v>200</v>
      </c>
      <c r="F361" s="56">
        <v>200</v>
      </c>
      <c r="G361" s="56">
        <f t="shared" si="14"/>
        <v>100</v>
      </c>
      <c r="H361" s="57"/>
      <c r="I361" s="48"/>
      <c r="J361" s="48"/>
      <c r="K361" s="14"/>
    </row>
    <row r="362" spans="1:11" ht="23.25" customHeight="1" x14ac:dyDescent="0.25">
      <c r="A362" s="10"/>
      <c r="B362" s="55" t="s">
        <v>214</v>
      </c>
      <c r="C362" s="62"/>
      <c r="D362" s="17"/>
      <c r="E362" s="56">
        <v>200</v>
      </c>
      <c r="F362" s="56">
        <v>200</v>
      </c>
      <c r="G362" s="56">
        <f t="shared" si="14"/>
        <v>100</v>
      </c>
      <c r="H362" s="57"/>
      <c r="I362" s="48"/>
      <c r="J362" s="48"/>
      <c r="K362" s="14"/>
    </row>
    <row r="363" spans="1:11" ht="22.5" customHeight="1" x14ac:dyDescent="0.25">
      <c r="A363" s="10"/>
      <c r="B363" s="55" t="s">
        <v>215</v>
      </c>
      <c r="C363" s="62"/>
      <c r="D363" s="17"/>
      <c r="E363" s="56">
        <v>500</v>
      </c>
      <c r="F363" s="56">
        <v>500</v>
      </c>
      <c r="G363" s="56">
        <f t="shared" si="14"/>
        <v>100</v>
      </c>
      <c r="H363" s="57"/>
      <c r="I363" s="48"/>
      <c r="J363" s="48"/>
      <c r="K363" s="14"/>
    </row>
    <row r="364" spans="1:11" ht="70.5" customHeight="1" x14ac:dyDescent="0.25">
      <c r="A364" s="10">
        <v>124</v>
      </c>
      <c r="B364" s="55" t="s">
        <v>220</v>
      </c>
      <c r="C364" s="62" t="s">
        <v>149</v>
      </c>
      <c r="D364" s="17" t="s">
        <v>16</v>
      </c>
      <c r="E364" s="56">
        <v>2626.5</v>
      </c>
      <c r="F364" s="56">
        <v>2621.75</v>
      </c>
      <c r="G364" s="56">
        <f t="shared" si="14"/>
        <v>99.819150961355419</v>
      </c>
      <c r="H364" s="57">
        <v>100</v>
      </c>
      <c r="I364" s="48"/>
      <c r="J364" s="23" t="s">
        <v>343</v>
      </c>
      <c r="K364" s="14"/>
    </row>
    <row r="365" spans="1:11" ht="21" customHeight="1" x14ac:dyDescent="0.25">
      <c r="A365" s="10"/>
      <c r="B365" s="61" t="s">
        <v>13</v>
      </c>
      <c r="C365" s="62"/>
      <c r="D365" s="17"/>
      <c r="E365" s="56">
        <v>2626.5</v>
      </c>
      <c r="F365" s="56">
        <v>2621.75</v>
      </c>
      <c r="G365" s="56">
        <f t="shared" si="14"/>
        <v>99.819150961355419</v>
      </c>
      <c r="H365" s="57"/>
      <c r="I365" s="48"/>
      <c r="J365" s="48"/>
      <c r="K365" s="14"/>
    </row>
    <row r="366" spans="1:11" ht="19.5" customHeight="1" x14ac:dyDescent="0.25">
      <c r="A366" s="10"/>
      <c r="B366" s="55" t="s">
        <v>155</v>
      </c>
      <c r="C366" s="62"/>
      <c r="D366" s="17"/>
      <c r="E366" s="56"/>
      <c r="F366" s="56"/>
      <c r="G366" s="56"/>
      <c r="H366" s="57"/>
      <c r="I366" s="48"/>
      <c r="J366" s="48"/>
      <c r="K366" s="14"/>
    </row>
    <row r="367" spans="1:11" ht="22.5" customHeight="1" x14ac:dyDescent="0.25">
      <c r="A367" s="10"/>
      <c r="B367" s="55" t="s">
        <v>164</v>
      </c>
      <c r="C367" s="62"/>
      <c r="D367" s="17"/>
      <c r="E367" s="56">
        <v>0</v>
      </c>
      <c r="F367" s="56">
        <v>0</v>
      </c>
      <c r="G367" s="56">
        <v>0</v>
      </c>
      <c r="H367" s="57"/>
      <c r="I367" s="48"/>
      <c r="J367" s="48"/>
      <c r="K367" s="14"/>
    </row>
    <row r="368" spans="1:11" ht="24" customHeight="1" x14ac:dyDescent="0.25">
      <c r="A368" s="10"/>
      <c r="B368" s="55" t="s">
        <v>214</v>
      </c>
      <c r="C368" s="62"/>
      <c r="D368" s="17"/>
      <c r="E368" s="56">
        <v>2626.5</v>
      </c>
      <c r="F368" s="73">
        <v>2621.75</v>
      </c>
      <c r="G368" s="56">
        <f t="shared" si="14"/>
        <v>99.819150961355419</v>
      </c>
      <c r="H368" s="57"/>
      <c r="I368" s="48"/>
      <c r="J368" s="48"/>
      <c r="K368" s="14"/>
    </row>
    <row r="369" spans="1:11" ht="19.5" customHeight="1" x14ac:dyDescent="0.25">
      <c r="A369" s="10"/>
      <c r="B369" s="55" t="s">
        <v>215</v>
      </c>
      <c r="C369" s="62"/>
      <c r="D369" s="17"/>
      <c r="E369" s="56">
        <v>0</v>
      </c>
      <c r="F369" s="56">
        <v>0</v>
      </c>
      <c r="G369" s="56">
        <v>0</v>
      </c>
      <c r="H369" s="57"/>
      <c r="I369" s="48"/>
      <c r="J369" s="48"/>
      <c r="K369" s="14"/>
    </row>
    <row r="370" spans="1:11" ht="67.5" customHeight="1" x14ac:dyDescent="0.25">
      <c r="A370" s="10">
        <v>125</v>
      </c>
      <c r="B370" s="55" t="s">
        <v>221</v>
      </c>
      <c r="C370" s="62" t="s">
        <v>149</v>
      </c>
      <c r="D370" s="17" t="s">
        <v>16</v>
      </c>
      <c r="E370" s="56">
        <v>51500</v>
      </c>
      <c r="F370" s="56">
        <v>52942</v>
      </c>
      <c r="G370" s="56">
        <f t="shared" si="14"/>
        <v>102.8</v>
      </c>
      <c r="H370" s="57">
        <v>100</v>
      </c>
      <c r="I370" s="48"/>
      <c r="J370" s="23" t="s">
        <v>343</v>
      </c>
      <c r="K370" s="14"/>
    </row>
    <row r="371" spans="1:11" ht="25.5" customHeight="1" x14ac:dyDescent="0.25">
      <c r="A371" s="10"/>
      <c r="B371" s="61" t="s">
        <v>13</v>
      </c>
      <c r="C371" s="62"/>
      <c r="D371" s="17"/>
      <c r="E371" s="56">
        <v>12000</v>
      </c>
      <c r="F371" s="56">
        <v>10092</v>
      </c>
      <c r="G371" s="56">
        <f t="shared" si="14"/>
        <v>84.1</v>
      </c>
      <c r="H371" s="57"/>
      <c r="I371" s="14"/>
      <c r="J371" s="14"/>
      <c r="K371" s="14"/>
    </row>
    <row r="372" spans="1:11" ht="17.25" customHeight="1" x14ac:dyDescent="0.25">
      <c r="A372" s="10"/>
      <c r="B372" s="61" t="s">
        <v>19</v>
      </c>
      <c r="C372" s="62"/>
      <c r="D372" s="17"/>
      <c r="E372" s="56">
        <v>39500</v>
      </c>
      <c r="F372" s="56">
        <v>42850</v>
      </c>
      <c r="G372" s="56">
        <f t="shared" si="14"/>
        <v>108.48101265822785</v>
      </c>
      <c r="H372" s="57"/>
      <c r="I372" s="14"/>
      <c r="J372" s="14"/>
      <c r="K372" s="14"/>
    </row>
    <row r="373" spans="1:11" ht="17.25" customHeight="1" x14ac:dyDescent="0.25">
      <c r="A373" s="10"/>
      <c r="B373" s="55" t="s">
        <v>155</v>
      </c>
      <c r="C373" s="62"/>
      <c r="D373" s="17"/>
      <c r="E373" s="56"/>
      <c r="F373" s="56"/>
      <c r="G373" s="56"/>
      <c r="H373" s="57"/>
      <c r="I373" s="14"/>
      <c r="J373" s="14"/>
      <c r="K373" s="14"/>
    </row>
    <row r="374" spans="1:11" ht="17.25" customHeight="1" x14ac:dyDescent="0.25">
      <c r="A374" s="10"/>
      <c r="B374" s="55" t="s">
        <v>164</v>
      </c>
      <c r="C374" s="62"/>
      <c r="D374" s="17"/>
      <c r="E374" s="56">
        <v>5000</v>
      </c>
      <c r="F374" s="56">
        <v>2999.32</v>
      </c>
      <c r="G374" s="56">
        <f t="shared" si="14"/>
        <v>59.986400000000003</v>
      </c>
      <c r="H374" s="57"/>
      <c r="I374" s="14"/>
      <c r="J374" s="14"/>
      <c r="K374" s="14"/>
    </row>
    <row r="375" spans="1:11" ht="21" customHeight="1" x14ac:dyDescent="0.25">
      <c r="A375" s="10"/>
      <c r="B375" s="55" t="s">
        <v>13</v>
      </c>
      <c r="C375" s="62"/>
      <c r="D375" s="17"/>
      <c r="E375" s="56">
        <v>4000</v>
      </c>
      <c r="F375" s="56">
        <v>1999.32</v>
      </c>
      <c r="G375" s="56">
        <f t="shared" si="14"/>
        <v>49.982999999999997</v>
      </c>
      <c r="H375" s="57"/>
      <c r="I375" s="14"/>
      <c r="J375" s="14"/>
      <c r="K375" s="14"/>
    </row>
    <row r="376" spans="1:11" ht="21" customHeight="1" x14ac:dyDescent="0.25">
      <c r="A376" s="10"/>
      <c r="B376" s="55" t="s">
        <v>19</v>
      </c>
      <c r="C376" s="62"/>
      <c r="D376" s="17"/>
      <c r="E376" s="56">
        <v>1000</v>
      </c>
      <c r="F376" s="56">
        <v>1000</v>
      </c>
      <c r="G376" s="56">
        <f t="shared" si="14"/>
        <v>100</v>
      </c>
      <c r="H376" s="57"/>
      <c r="I376" s="14"/>
      <c r="J376" s="14"/>
      <c r="K376" s="14"/>
    </row>
    <row r="377" spans="1:11" ht="19.5" customHeight="1" x14ac:dyDescent="0.25">
      <c r="A377" s="10"/>
      <c r="B377" s="55" t="s">
        <v>214</v>
      </c>
      <c r="C377" s="62"/>
      <c r="D377" s="17"/>
      <c r="E377" s="56">
        <v>20000</v>
      </c>
      <c r="F377" s="56">
        <v>23340.18</v>
      </c>
      <c r="G377" s="56">
        <f t="shared" si="14"/>
        <v>116.70089999999999</v>
      </c>
      <c r="H377" s="57"/>
      <c r="I377" s="14"/>
      <c r="J377" s="14"/>
      <c r="K377" s="14"/>
    </row>
    <row r="378" spans="1:11" ht="17.25" customHeight="1" x14ac:dyDescent="0.25">
      <c r="A378" s="10"/>
      <c r="B378" s="55" t="s">
        <v>13</v>
      </c>
      <c r="C378" s="62"/>
      <c r="D378" s="17"/>
      <c r="E378" s="56">
        <v>8000</v>
      </c>
      <c r="F378" s="56">
        <v>7990.18</v>
      </c>
      <c r="G378" s="56">
        <f t="shared" si="14"/>
        <v>99.877250000000004</v>
      </c>
      <c r="H378" s="57"/>
      <c r="I378" s="14"/>
      <c r="J378" s="14"/>
      <c r="K378" s="14"/>
    </row>
    <row r="379" spans="1:11" ht="24" customHeight="1" x14ac:dyDescent="0.25">
      <c r="A379" s="10"/>
      <c r="B379" s="55" t="s">
        <v>19</v>
      </c>
      <c r="C379" s="62"/>
      <c r="D379" s="17"/>
      <c r="E379" s="56">
        <v>12000</v>
      </c>
      <c r="F379" s="56">
        <v>15350</v>
      </c>
      <c r="G379" s="56">
        <f t="shared" si="14"/>
        <v>127.91666666666666</v>
      </c>
      <c r="H379" s="57"/>
      <c r="I379" s="14"/>
      <c r="J379" s="14"/>
      <c r="K379" s="14"/>
    </row>
    <row r="380" spans="1:11" ht="17.25" customHeight="1" x14ac:dyDescent="0.25">
      <c r="A380" s="10"/>
      <c r="B380" s="55" t="s">
        <v>215</v>
      </c>
      <c r="C380" s="62"/>
      <c r="D380" s="17"/>
      <c r="E380" s="56">
        <v>26500</v>
      </c>
      <c r="F380" s="56">
        <v>26602.5</v>
      </c>
      <c r="G380" s="56">
        <f t="shared" si="14"/>
        <v>100.38679245283019</v>
      </c>
      <c r="H380" s="57"/>
      <c r="I380" s="14"/>
      <c r="J380" s="14"/>
      <c r="K380" s="14"/>
    </row>
    <row r="381" spans="1:11" ht="21.75" customHeight="1" x14ac:dyDescent="0.25">
      <c r="A381" s="10"/>
      <c r="B381" s="55" t="s">
        <v>13</v>
      </c>
      <c r="C381" s="62"/>
      <c r="D381" s="17"/>
      <c r="E381" s="56">
        <v>0</v>
      </c>
      <c r="F381" s="56">
        <v>102.5</v>
      </c>
      <c r="G381" s="56"/>
      <c r="H381" s="57"/>
      <c r="I381" s="14"/>
      <c r="J381" s="14"/>
      <c r="K381" s="14"/>
    </row>
    <row r="382" spans="1:11" ht="20.25" customHeight="1" x14ac:dyDescent="0.25">
      <c r="A382" s="10"/>
      <c r="B382" s="55" t="s">
        <v>19</v>
      </c>
      <c r="C382" s="62"/>
      <c r="D382" s="17"/>
      <c r="E382" s="56">
        <v>26500</v>
      </c>
      <c r="F382" s="56">
        <v>26500</v>
      </c>
      <c r="G382" s="56">
        <f t="shared" si="14"/>
        <v>100</v>
      </c>
      <c r="H382" s="57"/>
      <c r="I382" s="14"/>
      <c r="J382" s="14"/>
      <c r="K382" s="14"/>
    </row>
    <row r="383" spans="1:11" ht="72" customHeight="1" x14ac:dyDescent="0.25">
      <c r="A383" s="10">
        <v>126</v>
      </c>
      <c r="B383" s="55" t="s">
        <v>222</v>
      </c>
      <c r="C383" s="62" t="s">
        <v>149</v>
      </c>
      <c r="D383" s="17" t="s">
        <v>16</v>
      </c>
      <c r="E383" s="56">
        <v>67000</v>
      </c>
      <c r="F383" s="56">
        <v>90151.44</v>
      </c>
      <c r="G383" s="56">
        <f t="shared" si="14"/>
        <v>134.55438805970149</v>
      </c>
      <c r="H383" s="57">
        <v>100</v>
      </c>
      <c r="I383" s="14"/>
      <c r="J383" s="23" t="s">
        <v>343</v>
      </c>
      <c r="K383" s="14"/>
    </row>
    <row r="384" spans="1:11" ht="17.25" customHeight="1" x14ac:dyDescent="0.25">
      <c r="A384" s="10"/>
      <c r="B384" s="61" t="s">
        <v>19</v>
      </c>
      <c r="C384" s="1"/>
      <c r="D384" s="1"/>
      <c r="E384" s="56">
        <v>67000</v>
      </c>
      <c r="F384" s="56">
        <v>90000</v>
      </c>
      <c r="G384" s="56">
        <f t="shared" si="14"/>
        <v>134.32835820895522</v>
      </c>
      <c r="H384" s="57"/>
      <c r="I384" s="14"/>
      <c r="J384" s="14"/>
      <c r="K384" s="14"/>
    </row>
    <row r="385" spans="1:11" ht="17.25" customHeight="1" x14ac:dyDescent="0.25">
      <c r="A385" s="10"/>
      <c r="B385" s="55" t="s">
        <v>155</v>
      </c>
      <c r="C385" s="1"/>
      <c r="D385" s="1"/>
      <c r="E385" s="56"/>
      <c r="F385" s="56"/>
      <c r="G385" s="56"/>
      <c r="H385" s="57"/>
      <c r="I385" s="14"/>
      <c r="J385" s="14"/>
      <c r="K385" s="14"/>
    </row>
    <row r="386" spans="1:11" ht="17.25" customHeight="1" x14ac:dyDescent="0.25">
      <c r="A386" s="10"/>
      <c r="B386" s="55" t="s">
        <v>214</v>
      </c>
      <c r="C386" s="1"/>
      <c r="D386" s="1"/>
      <c r="E386" s="56">
        <v>60000</v>
      </c>
      <c r="F386" s="56">
        <v>83000</v>
      </c>
      <c r="G386" s="56">
        <f t="shared" si="14"/>
        <v>138.33333333333334</v>
      </c>
      <c r="H386" s="57"/>
      <c r="I386" s="14"/>
      <c r="J386" s="14"/>
      <c r="K386" s="14"/>
    </row>
    <row r="387" spans="1:11" ht="17.25" customHeight="1" x14ac:dyDescent="0.25">
      <c r="A387" s="10"/>
      <c r="B387" s="55" t="s">
        <v>215</v>
      </c>
      <c r="C387" s="1"/>
      <c r="D387" s="1"/>
      <c r="E387" s="56">
        <v>7000</v>
      </c>
      <c r="F387" s="56">
        <v>7000</v>
      </c>
      <c r="G387" s="56">
        <f t="shared" si="14"/>
        <v>100</v>
      </c>
      <c r="H387" s="57"/>
      <c r="I387" s="14"/>
      <c r="J387" s="14"/>
      <c r="K387" s="14"/>
    </row>
    <row r="388" spans="1:11" ht="17.25" customHeight="1" x14ac:dyDescent="0.25">
      <c r="A388" s="10"/>
      <c r="B388" s="61" t="s">
        <v>13</v>
      </c>
      <c r="C388" s="1"/>
      <c r="D388" s="1"/>
      <c r="E388" s="56"/>
      <c r="F388" s="56">
        <v>151.63999999999999</v>
      </c>
      <c r="G388" s="56"/>
      <c r="H388" s="57"/>
      <c r="I388" s="14"/>
      <c r="J388" s="14"/>
      <c r="K388" s="14"/>
    </row>
    <row r="389" spans="1:11" ht="17.25" customHeight="1" x14ac:dyDescent="0.25">
      <c r="A389" s="10"/>
      <c r="B389" s="61" t="s">
        <v>155</v>
      </c>
      <c r="C389" s="1"/>
      <c r="D389" s="1"/>
      <c r="E389" s="56"/>
      <c r="F389" s="56"/>
      <c r="G389" s="56"/>
      <c r="H389" s="57"/>
      <c r="I389" s="14"/>
      <c r="J389" s="14"/>
      <c r="K389" s="14"/>
    </row>
    <row r="390" spans="1:11" ht="17.25" customHeight="1" x14ac:dyDescent="0.25">
      <c r="A390" s="10"/>
      <c r="B390" s="55" t="s">
        <v>215</v>
      </c>
      <c r="C390" s="1"/>
      <c r="D390" s="1"/>
      <c r="E390" s="56"/>
      <c r="F390" s="56">
        <v>151.63999999999999</v>
      </c>
      <c r="G390" s="56"/>
      <c r="H390" s="57"/>
      <c r="I390" s="14"/>
      <c r="J390" s="14"/>
      <c r="K390" s="14"/>
    </row>
    <row r="391" spans="1:11" ht="77.25" customHeight="1" x14ac:dyDescent="0.25">
      <c r="A391" s="10">
        <v>127</v>
      </c>
      <c r="B391" s="55" t="s">
        <v>223</v>
      </c>
      <c r="C391" s="62" t="s">
        <v>149</v>
      </c>
      <c r="D391" s="17" t="s">
        <v>410</v>
      </c>
      <c r="E391" s="56">
        <v>4500</v>
      </c>
      <c r="F391" s="56">
        <v>9210</v>
      </c>
      <c r="G391" s="56">
        <f t="shared" si="14"/>
        <v>204.66666666666669</v>
      </c>
      <c r="H391" s="57">
        <v>100</v>
      </c>
      <c r="I391" s="14"/>
      <c r="J391" s="23" t="s">
        <v>396</v>
      </c>
      <c r="K391" s="14"/>
    </row>
    <row r="392" spans="1:11" ht="17.25" customHeight="1" x14ac:dyDescent="0.25">
      <c r="A392" s="10"/>
      <c r="B392" s="61" t="s">
        <v>19</v>
      </c>
      <c r="C392" s="62"/>
      <c r="D392" s="17"/>
      <c r="E392" s="56">
        <v>4500</v>
      </c>
      <c r="F392" s="56">
        <v>9210</v>
      </c>
      <c r="G392" s="56">
        <f t="shared" si="14"/>
        <v>204.66666666666669</v>
      </c>
      <c r="H392" s="57"/>
      <c r="I392" s="14"/>
      <c r="J392" s="14"/>
      <c r="K392" s="14"/>
    </row>
    <row r="393" spans="1:11" ht="17.25" customHeight="1" x14ac:dyDescent="0.25">
      <c r="A393" s="10"/>
      <c r="B393" s="55" t="s">
        <v>155</v>
      </c>
      <c r="C393" s="62"/>
      <c r="D393" s="17"/>
      <c r="E393" s="56"/>
      <c r="F393" s="56"/>
      <c r="G393" s="56"/>
      <c r="H393" s="57"/>
      <c r="I393" s="14"/>
      <c r="J393" s="14"/>
      <c r="K393" s="14"/>
    </row>
    <row r="394" spans="1:11" ht="17.25" customHeight="1" x14ac:dyDescent="0.25">
      <c r="A394" s="10"/>
      <c r="B394" s="55" t="s">
        <v>164</v>
      </c>
      <c r="C394" s="1"/>
      <c r="D394" s="1"/>
      <c r="E394" s="56">
        <v>500</v>
      </c>
      <c r="F394" s="56">
        <v>500</v>
      </c>
      <c r="G394" s="56">
        <f t="shared" si="14"/>
        <v>100</v>
      </c>
      <c r="H394" s="57"/>
      <c r="I394" s="14"/>
      <c r="J394" s="14"/>
      <c r="K394" s="14"/>
    </row>
    <row r="395" spans="1:11" ht="17.25" customHeight="1" x14ac:dyDescent="0.25">
      <c r="A395" s="10"/>
      <c r="B395" s="55" t="s">
        <v>214</v>
      </c>
      <c r="C395" s="1"/>
      <c r="D395" s="1"/>
      <c r="E395" s="56">
        <v>2500</v>
      </c>
      <c r="F395" s="56">
        <v>7210</v>
      </c>
      <c r="G395" s="56">
        <f t="shared" si="14"/>
        <v>288.39999999999998</v>
      </c>
      <c r="H395" s="57"/>
      <c r="I395" s="14"/>
      <c r="J395" s="14"/>
      <c r="K395" s="14"/>
    </row>
    <row r="396" spans="1:11" ht="17.25" customHeight="1" x14ac:dyDescent="0.25">
      <c r="A396" s="10"/>
      <c r="B396" s="55" t="s">
        <v>215</v>
      </c>
      <c r="C396" s="1"/>
      <c r="D396" s="1"/>
      <c r="E396" s="56">
        <v>1500</v>
      </c>
      <c r="F396" s="56">
        <v>1500</v>
      </c>
      <c r="G396" s="56">
        <f t="shared" si="14"/>
        <v>100</v>
      </c>
      <c r="H396" s="57"/>
      <c r="I396" s="14"/>
      <c r="J396" s="14"/>
      <c r="K396" s="14"/>
    </row>
    <row r="397" spans="1:11" ht="101.25" customHeight="1" x14ac:dyDescent="0.25">
      <c r="A397" s="10">
        <v>128</v>
      </c>
      <c r="B397" s="55" t="s">
        <v>224</v>
      </c>
      <c r="C397" s="62" t="s">
        <v>48</v>
      </c>
      <c r="D397" s="17" t="s">
        <v>16</v>
      </c>
      <c r="E397" s="56">
        <v>1000</v>
      </c>
      <c r="F397" s="56">
        <v>800</v>
      </c>
      <c r="G397" s="56">
        <f t="shared" si="14"/>
        <v>80</v>
      </c>
      <c r="H397" s="57">
        <v>100</v>
      </c>
      <c r="I397" s="14"/>
      <c r="J397" s="23" t="s">
        <v>343</v>
      </c>
      <c r="K397" s="14"/>
    </row>
    <row r="398" spans="1:11" ht="17.25" customHeight="1" x14ac:dyDescent="0.25">
      <c r="A398" s="10"/>
      <c r="B398" s="61" t="s">
        <v>19</v>
      </c>
      <c r="C398" s="62"/>
      <c r="D398" s="17"/>
      <c r="E398" s="74">
        <v>1000</v>
      </c>
      <c r="F398" s="74">
        <v>800</v>
      </c>
      <c r="G398" s="74">
        <f t="shared" si="14"/>
        <v>80</v>
      </c>
      <c r="H398" s="57"/>
      <c r="I398" s="14"/>
      <c r="J398" s="14"/>
      <c r="K398" s="14"/>
    </row>
    <row r="399" spans="1:11" ht="17.25" customHeight="1" x14ac:dyDescent="0.25">
      <c r="A399" s="10"/>
      <c r="B399" s="55" t="s">
        <v>155</v>
      </c>
      <c r="C399" s="62"/>
      <c r="D399" s="17"/>
      <c r="E399" s="74"/>
      <c r="F399" s="74"/>
      <c r="G399" s="74"/>
      <c r="H399" s="57"/>
      <c r="I399" s="14"/>
      <c r="J399" s="14"/>
      <c r="K399" s="14"/>
    </row>
    <row r="400" spans="1:11" ht="33.75" customHeight="1" x14ac:dyDescent="0.25">
      <c r="A400" s="10"/>
      <c r="B400" s="55" t="s">
        <v>225</v>
      </c>
      <c r="C400" s="62"/>
      <c r="D400" s="17"/>
      <c r="E400" s="74">
        <v>800</v>
      </c>
      <c r="F400" s="74">
        <v>800</v>
      </c>
      <c r="G400" s="74">
        <f t="shared" si="14"/>
        <v>100</v>
      </c>
      <c r="H400" s="57"/>
      <c r="I400" s="14"/>
      <c r="J400" s="14"/>
      <c r="K400" s="14"/>
    </row>
    <row r="401" spans="1:11" ht="24" customHeight="1" x14ac:dyDescent="0.25">
      <c r="A401" s="10"/>
      <c r="B401" s="55" t="s">
        <v>226</v>
      </c>
      <c r="C401" s="62"/>
      <c r="D401" s="17"/>
      <c r="E401" s="74">
        <v>200</v>
      </c>
      <c r="F401" s="74">
        <v>0</v>
      </c>
      <c r="G401" s="74">
        <f t="shared" si="14"/>
        <v>0</v>
      </c>
      <c r="H401" s="57"/>
      <c r="I401" s="14"/>
      <c r="J401" s="14"/>
      <c r="K401" s="14"/>
    </row>
    <row r="402" spans="1:11" ht="66" customHeight="1" x14ac:dyDescent="0.25">
      <c r="A402" s="10">
        <v>129</v>
      </c>
      <c r="B402" s="55" t="s">
        <v>216</v>
      </c>
      <c r="C402" s="62" t="s">
        <v>48</v>
      </c>
      <c r="D402" s="17" t="s">
        <v>16</v>
      </c>
      <c r="E402" s="56">
        <v>1200</v>
      </c>
      <c r="F402" s="56">
        <v>500</v>
      </c>
      <c r="G402" s="56">
        <f t="shared" si="14"/>
        <v>41.666666666666671</v>
      </c>
      <c r="H402" s="57">
        <v>100</v>
      </c>
      <c r="I402" s="14"/>
      <c r="J402" s="23" t="s">
        <v>343</v>
      </c>
      <c r="K402" s="14"/>
    </row>
    <row r="403" spans="1:11" ht="17.25" customHeight="1" x14ac:dyDescent="0.25">
      <c r="A403" s="10"/>
      <c r="B403" s="61" t="s">
        <v>19</v>
      </c>
      <c r="C403" s="62"/>
      <c r="D403" s="17"/>
      <c r="E403" s="74">
        <v>1200</v>
      </c>
      <c r="F403" s="74">
        <v>500</v>
      </c>
      <c r="G403" s="74">
        <f t="shared" ref="G403:G464" si="15">F403/E403*100</f>
        <v>41.666666666666671</v>
      </c>
      <c r="H403" s="57"/>
      <c r="I403" s="14"/>
      <c r="J403" s="14"/>
      <c r="K403" s="14"/>
    </row>
    <row r="404" spans="1:11" ht="17.25" customHeight="1" x14ac:dyDescent="0.25">
      <c r="A404" s="10"/>
      <c r="B404" s="55" t="s">
        <v>155</v>
      </c>
      <c r="C404" s="62"/>
      <c r="D404" s="17"/>
      <c r="E404" s="75"/>
      <c r="F404" s="74"/>
      <c r="G404" s="74"/>
      <c r="H404" s="57"/>
      <c r="I404" s="14"/>
      <c r="J404" s="14"/>
      <c r="K404" s="14"/>
    </row>
    <row r="405" spans="1:11" ht="33.75" customHeight="1" x14ac:dyDescent="0.25">
      <c r="A405" s="10"/>
      <c r="B405" s="55" t="s">
        <v>225</v>
      </c>
      <c r="C405" s="62"/>
      <c r="D405" s="17"/>
      <c r="E405" s="74">
        <v>500</v>
      </c>
      <c r="F405" s="74">
        <v>500</v>
      </c>
      <c r="G405" s="74">
        <f t="shared" si="15"/>
        <v>100</v>
      </c>
      <c r="H405" s="57"/>
      <c r="I405" s="14"/>
      <c r="J405" s="14"/>
      <c r="K405" s="14"/>
    </row>
    <row r="406" spans="1:11" ht="17.25" customHeight="1" x14ac:dyDescent="0.25">
      <c r="A406" s="10"/>
      <c r="B406" s="55" t="s">
        <v>226</v>
      </c>
      <c r="C406" s="62"/>
      <c r="D406" s="17"/>
      <c r="E406" s="74">
        <v>700</v>
      </c>
      <c r="F406" s="74">
        <v>0</v>
      </c>
      <c r="G406" s="74">
        <f t="shared" si="15"/>
        <v>0</v>
      </c>
      <c r="H406" s="57"/>
      <c r="I406" s="14"/>
      <c r="J406" s="14"/>
      <c r="K406" s="14"/>
    </row>
    <row r="407" spans="1:11" ht="133.5" customHeight="1" x14ac:dyDescent="0.25">
      <c r="A407" s="10">
        <v>130</v>
      </c>
      <c r="B407" s="55" t="s">
        <v>217</v>
      </c>
      <c r="C407" s="62" t="s">
        <v>48</v>
      </c>
      <c r="D407" s="17" t="s">
        <v>16</v>
      </c>
      <c r="E407" s="56">
        <v>400</v>
      </c>
      <c r="F407" s="56">
        <v>200</v>
      </c>
      <c r="G407" s="56">
        <f t="shared" si="15"/>
        <v>50</v>
      </c>
      <c r="H407" s="57">
        <v>100</v>
      </c>
      <c r="I407" s="14"/>
      <c r="J407" s="23" t="s">
        <v>343</v>
      </c>
      <c r="K407" s="14"/>
    </row>
    <row r="408" spans="1:11" ht="17.25" customHeight="1" x14ac:dyDescent="0.25">
      <c r="A408" s="10"/>
      <c r="B408" s="61" t="s">
        <v>19</v>
      </c>
      <c r="C408" s="62"/>
      <c r="D408" s="17"/>
      <c r="E408" s="74">
        <v>400</v>
      </c>
      <c r="F408" s="74">
        <v>200</v>
      </c>
      <c r="G408" s="74">
        <f t="shared" si="15"/>
        <v>50</v>
      </c>
      <c r="H408" s="57"/>
      <c r="I408" s="14"/>
      <c r="J408" s="14"/>
      <c r="K408" s="14"/>
    </row>
    <row r="409" spans="1:11" ht="17.25" customHeight="1" x14ac:dyDescent="0.25">
      <c r="A409" s="10"/>
      <c r="B409" s="55" t="s">
        <v>155</v>
      </c>
      <c r="C409" s="62"/>
      <c r="D409" s="17"/>
      <c r="E409" s="74"/>
      <c r="F409" s="74"/>
      <c r="G409" s="74"/>
      <c r="H409" s="57"/>
      <c r="I409" s="14"/>
      <c r="J409" s="14"/>
      <c r="K409" s="14"/>
    </row>
    <row r="410" spans="1:11" ht="36.75" customHeight="1" x14ac:dyDescent="0.25">
      <c r="A410" s="10"/>
      <c r="B410" s="55" t="s">
        <v>225</v>
      </c>
      <c r="C410" s="62"/>
      <c r="D410" s="17"/>
      <c r="E410" s="74">
        <v>200</v>
      </c>
      <c r="F410" s="74">
        <v>200</v>
      </c>
      <c r="G410" s="74">
        <f t="shared" si="15"/>
        <v>100</v>
      </c>
      <c r="H410" s="57"/>
      <c r="I410" s="14"/>
      <c r="J410" s="14"/>
      <c r="K410" s="14"/>
    </row>
    <row r="411" spans="1:11" ht="17.25" customHeight="1" x14ac:dyDescent="0.25">
      <c r="A411" s="10"/>
      <c r="B411" s="55" t="s">
        <v>226</v>
      </c>
      <c r="C411" s="62"/>
      <c r="D411" s="17"/>
      <c r="E411" s="74">
        <v>200</v>
      </c>
      <c r="F411" s="74">
        <v>0</v>
      </c>
      <c r="G411" s="74">
        <f t="shared" si="15"/>
        <v>0</v>
      </c>
      <c r="H411" s="57"/>
      <c r="I411" s="14"/>
      <c r="J411" s="14"/>
      <c r="K411" s="14"/>
    </row>
    <row r="412" spans="1:11" ht="101.25" customHeight="1" x14ac:dyDescent="0.25">
      <c r="A412" s="10">
        <v>131</v>
      </c>
      <c r="B412" s="55" t="s">
        <v>219</v>
      </c>
      <c r="C412" s="62" t="s">
        <v>48</v>
      </c>
      <c r="D412" s="17" t="s">
        <v>16</v>
      </c>
      <c r="E412" s="56">
        <v>700</v>
      </c>
      <c r="F412" s="56">
        <v>325</v>
      </c>
      <c r="G412" s="56">
        <f t="shared" si="15"/>
        <v>46.428571428571431</v>
      </c>
      <c r="H412" s="57">
        <v>100</v>
      </c>
      <c r="I412" s="14"/>
      <c r="J412" s="23" t="s">
        <v>343</v>
      </c>
      <c r="K412" s="14"/>
    </row>
    <row r="413" spans="1:11" ht="17.25" customHeight="1" x14ac:dyDescent="0.25">
      <c r="A413" s="10"/>
      <c r="B413" s="61" t="s">
        <v>19</v>
      </c>
      <c r="C413" s="62"/>
      <c r="D413" s="17"/>
      <c r="E413" s="74">
        <v>700</v>
      </c>
      <c r="F413" s="74">
        <v>325</v>
      </c>
      <c r="G413" s="74">
        <f t="shared" si="15"/>
        <v>46.428571428571431</v>
      </c>
      <c r="H413" s="57"/>
      <c r="I413" s="14"/>
      <c r="J413" s="14"/>
      <c r="K413" s="14"/>
    </row>
    <row r="414" spans="1:11" ht="17.25" customHeight="1" x14ac:dyDescent="0.25">
      <c r="A414" s="10"/>
      <c r="B414" s="55" t="s">
        <v>155</v>
      </c>
      <c r="C414" s="62"/>
      <c r="D414" s="17"/>
      <c r="E414" s="74"/>
      <c r="F414" s="74"/>
      <c r="G414" s="74"/>
      <c r="H414" s="57"/>
      <c r="I414" s="14"/>
      <c r="J414" s="14"/>
      <c r="K414" s="14"/>
    </row>
    <row r="415" spans="1:11" ht="35.25" customHeight="1" x14ac:dyDescent="0.25">
      <c r="A415" s="10"/>
      <c r="B415" s="55" t="s">
        <v>225</v>
      </c>
      <c r="C415" s="62"/>
      <c r="D415" s="17"/>
      <c r="E415" s="74">
        <v>500</v>
      </c>
      <c r="F415" s="74">
        <v>325</v>
      </c>
      <c r="G415" s="74">
        <f t="shared" si="15"/>
        <v>65</v>
      </c>
      <c r="H415" s="57"/>
      <c r="I415" s="14"/>
      <c r="J415" s="14"/>
      <c r="K415" s="14"/>
    </row>
    <row r="416" spans="1:11" ht="17.25" customHeight="1" x14ac:dyDescent="0.25">
      <c r="A416" s="10"/>
      <c r="B416" s="55" t="s">
        <v>226</v>
      </c>
      <c r="C416" s="62"/>
      <c r="D416" s="17"/>
      <c r="E416" s="74">
        <v>200</v>
      </c>
      <c r="F416" s="74">
        <v>0</v>
      </c>
      <c r="G416" s="74">
        <f t="shared" si="15"/>
        <v>0</v>
      </c>
      <c r="H416" s="57"/>
      <c r="I416" s="14"/>
      <c r="J416" s="14"/>
      <c r="K416" s="14"/>
    </row>
    <row r="417" spans="1:11" ht="83.25" customHeight="1" x14ac:dyDescent="0.25">
      <c r="A417" s="10">
        <v>132</v>
      </c>
      <c r="B417" s="55" t="s">
        <v>227</v>
      </c>
      <c r="C417" s="62" t="s">
        <v>48</v>
      </c>
      <c r="D417" s="17" t="s">
        <v>16</v>
      </c>
      <c r="E417" s="56">
        <v>400</v>
      </c>
      <c r="F417" s="56">
        <v>119.34</v>
      </c>
      <c r="G417" s="56">
        <f t="shared" si="15"/>
        <v>29.835000000000001</v>
      </c>
      <c r="H417" s="57">
        <v>100</v>
      </c>
      <c r="I417" s="14"/>
      <c r="J417" s="23" t="s">
        <v>343</v>
      </c>
      <c r="K417" s="14"/>
    </row>
    <row r="418" spans="1:11" ht="24.75" customHeight="1" x14ac:dyDescent="0.25">
      <c r="A418" s="10"/>
      <c r="B418" s="61" t="s">
        <v>19</v>
      </c>
      <c r="C418" s="62"/>
      <c r="D418" s="17"/>
      <c r="E418" s="74">
        <v>400</v>
      </c>
      <c r="F418" s="74">
        <v>119.34</v>
      </c>
      <c r="G418" s="74">
        <f t="shared" si="15"/>
        <v>29.835000000000001</v>
      </c>
      <c r="H418" s="57"/>
      <c r="I418" s="14"/>
      <c r="J418" s="14"/>
      <c r="K418" s="14"/>
    </row>
    <row r="419" spans="1:11" ht="90" customHeight="1" x14ac:dyDescent="0.25">
      <c r="A419" s="10">
        <v>133</v>
      </c>
      <c r="B419" s="55" t="s">
        <v>228</v>
      </c>
      <c r="C419" s="62" t="s">
        <v>48</v>
      </c>
      <c r="D419" s="17" t="s">
        <v>16</v>
      </c>
      <c r="E419" s="56">
        <v>400</v>
      </c>
      <c r="F419" s="56">
        <v>480</v>
      </c>
      <c r="G419" s="56">
        <f t="shared" si="15"/>
        <v>120</v>
      </c>
      <c r="H419" s="57">
        <v>100</v>
      </c>
      <c r="I419" s="14"/>
      <c r="J419" s="23" t="s">
        <v>343</v>
      </c>
      <c r="K419" s="14"/>
    </row>
    <row r="420" spans="1:11" ht="17.25" customHeight="1" x14ac:dyDescent="0.25">
      <c r="A420" s="10"/>
      <c r="B420" s="61" t="s">
        <v>19</v>
      </c>
      <c r="C420" s="62"/>
      <c r="D420" s="17"/>
      <c r="E420" s="74">
        <v>400</v>
      </c>
      <c r="F420" s="74">
        <v>480</v>
      </c>
      <c r="G420" s="74">
        <f t="shared" si="15"/>
        <v>120</v>
      </c>
      <c r="H420" s="57"/>
      <c r="I420" s="14"/>
      <c r="J420" s="14"/>
      <c r="K420" s="14"/>
    </row>
    <row r="421" spans="1:11" ht="69" customHeight="1" x14ac:dyDescent="0.25">
      <c r="A421" s="10">
        <v>134</v>
      </c>
      <c r="B421" s="55" t="s">
        <v>229</v>
      </c>
      <c r="C421" s="62" t="s">
        <v>48</v>
      </c>
      <c r="D421" s="17" t="s">
        <v>16</v>
      </c>
      <c r="E421" s="56">
        <v>1800</v>
      </c>
      <c r="F421" s="56">
        <v>1800</v>
      </c>
      <c r="G421" s="56">
        <f t="shared" si="15"/>
        <v>100</v>
      </c>
      <c r="H421" s="57">
        <v>100</v>
      </c>
      <c r="I421" s="14"/>
      <c r="J421" s="23" t="s">
        <v>343</v>
      </c>
      <c r="K421" s="14"/>
    </row>
    <row r="422" spans="1:11" ht="17.25" customHeight="1" x14ac:dyDescent="0.25">
      <c r="A422" s="10"/>
      <c r="B422" s="61" t="s">
        <v>19</v>
      </c>
      <c r="C422" s="62"/>
      <c r="D422" s="17"/>
      <c r="E422" s="74">
        <v>1800</v>
      </c>
      <c r="F422" s="74">
        <v>1800</v>
      </c>
      <c r="G422" s="74">
        <f t="shared" si="15"/>
        <v>100</v>
      </c>
      <c r="H422" s="57"/>
      <c r="I422" s="14"/>
      <c r="J422" s="14"/>
      <c r="K422" s="14"/>
    </row>
    <row r="423" spans="1:11" ht="66.75" customHeight="1" x14ac:dyDescent="0.25">
      <c r="A423" s="10">
        <v>135</v>
      </c>
      <c r="B423" s="55" t="s">
        <v>230</v>
      </c>
      <c r="C423" s="62" t="s">
        <v>48</v>
      </c>
      <c r="D423" s="17" t="s">
        <v>16</v>
      </c>
      <c r="E423" s="56">
        <v>1500</v>
      </c>
      <c r="F423" s="56">
        <v>1900</v>
      </c>
      <c r="G423" s="56">
        <f t="shared" si="15"/>
        <v>126.66666666666666</v>
      </c>
      <c r="H423" s="57">
        <v>100</v>
      </c>
      <c r="I423" s="14"/>
      <c r="J423" s="23" t="s">
        <v>343</v>
      </c>
      <c r="K423" s="14"/>
    </row>
    <row r="424" spans="1:11" ht="17.25" customHeight="1" x14ac:dyDescent="0.25">
      <c r="A424" s="10"/>
      <c r="B424" s="61" t="s">
        <v>19</v>
      </c>
      <c r="C424" s="62"/>
      <c r="D424" s="17"/>
      <c r="E424" s="74">
        <v>1500</v>
      </c>
      <c r="F424" s="74">
        <v>1900</v>
      </c>
      <c r="G424" s="74">
        <f t="shared" si="15"/>
        <v>126.66666666666666</v>
      </c>
      <c r="H424" s="57"/>
      <c r="I424" s="14"/>
      <c r="J424" s="14"/>
      <c r="K424" s="14"/>
    </row>
    <row r="425" spans="1:11" ht="17.25" customHeight="1" x14ac:dyDescent="0.25">
      <c r="A425" s="10"/>
      <c r="B425" s="55" t="s">
        <v>155</v>
      </c>
      <c r="C425" s="62"/>
      <c r="D425" s="17"/>
      <c r="E425" s="74"/>
      <c r="F425" s="74"/>
      <c r="G425" s="74"/>
      <c r="H425" s="57"/>
      <c r="I425" s="14"/>
      <c r="J425" s="14"/>
      <c r="K425" s="14"/>
    </row>
    <row r="426" spans="1:11" ht="34.5" customHeight="1" x14ac:dyDescent="0.25">
      <c r="A426" s="10"/>
      <c r="B426" s="55" t="s">
        <v>225</v>
      </c>
      <c r="C426" s="62"/>
      <c r="D426" s="17"/>
      <c r="E426" s="74">
        <v>700</v>
      </c>
      <c r="F426" s="74">
        <v>700</v>
      </c>
      <c r="G426" s="74">
        <f t="shared" si="15"/>
        <v>100</v>
      </c>
      <c r="H426" s="57"/>
      <c r="I426" s="14"/>
      <c r="J426" s="14"/>
      <c r="K426" s="14"/>
    </row>
    <row r="427" spans="1:11" ht="21.75" customHeight="1" x14ac:dyDescent="0.25">
      <c r="A427" s="10"/>
      <c r="B427" s="55" t="s">
        <v>226</v>
      </c>
      <c r="C427" s="62"/>
      <c r="D427" s="17"/>
      <c r="E427" s="74">
        <v>800</v>
      </c>
      <c r="F427" s="74">
        <v>1200</v>
      </c>
      <c r="G427" s="74">
        <f t="shared" si="15"/>
        <v>150</v>
      </c>
      <c r="H427" s="57"/>
      <c r="I427" s="14"/>
      <c r="J427" s="14"/>
      <c r="K427" s="14"/>
    </row>
    <row r="428" spans="1:11" ht="69.75" customHeight="1" x14ac:dyDescent="0.25">
      <c r="A428" s="10">
        <v>136</v>
      </c>
      <c r="B428" s="55" t="s">
        <v>231</v>
      </c>
      <c r="C428" s="62" t="s">
        <v>48</v>
      </c>
      <c r="D428" s="17" t="s">
        <v>16</v>
      </c>
      <c r="E428" s="56">
        <v>600</v>
      </c>
      <c r="F428" s="56">
        <v>1400</v>
      </c>
      <c r="G428" s="56">
        <f t="shared" si="15"/>
        <v>233.33333333333334</v>
      </c>
      <c r="H428" s="57">
        <v>100</v>
      </c>
      <c r="I428" s="14"/>
      <c r="J428" s="23" t="s">
        <v>343</v>
      </c>
      <c r="K428" s="14"/>
    </row>
    <row r="429" spans="1:11" ht="17.25" customHeight="1" x14ac:dyDescent="0.25">
      <c r="A429" s="10"/>
      <c r="B429" s="61" t="s">
        <v>19</v>
      </c>
      <c r="C429" s="62"/>
      <c r="D429" s="17"/>
      <c r="E429" s="74">
        <v>600</v>
      </c>
      <c r="F429" s="74">
        <v>1400</v>
      </c>
      <c r="G429" s="74">
        <f t="shared" si="15"/>
        <v>233.33333333333334</v>
      </c>
      <c r="H429" s="57"/>
      <c r="I429" s="14"/>
      <c r="J429" s="14"/>
      <c r="K429" s="14"/>
    </row>
    <row r="430" spans="1:11" ht="17.25" customHeight="1" x14ac:dyDescent="0.25">
      <c r="A430" s="10"/>
      <c r="B430" s="55" t="s">
        <v>155</v>
      </c>
      <c r="C430" s="62"/>
      <c r="D430" s="17"/>
      <c r="E430" s="74"/>
      <c r="F430" s="74"/>
      <c r="G430" s="74"/>
      <c r="H430" s="57"/>
      <c r="I430" s="14"/>
      <c r="J430" s="14"/>
      <c r="K430" s="14"/>
    </row>
    <row r="431" spans="1:11" ht="35.25" customHeight="1" x14ac:dyDescent="0.25">
      <c r="A431" s="10"/>
      <c r="B431" s="55" t="s">
        <v>225</v>
      </c>
      <c r="C431" s="62"/>
      <c r="D431" s="17"/>
      <c r="E431" s="74">
        <v>200</v>
      </c>
      <c r="F431" s="74">
        <v>200</v>
      </c>
      <c r="G431" s="74">
        <f t="shared" si="15"/>
        <v>100</v>
      </c>
      <c r="H431" s="57"/>
      <c r="I431" s="14"/>
      <c r="J431" s="14"/>
      <c r="K431" s="14"/>
    </row>
    <row r="432" spans="1:11" ht="17.25" customHeight="1" x14ac:dyDescent="0.25">
      <c r="A432" s="10"/>
      <c r="B432" s="55" t="s">
        <v>226</v>
      </c>
      <c r="C432" s="62"/>
      <c r="D432" s="17"/>
      <c r="E432" s="74">
        <v>400</v>
      </c>
      <c r="F432" s="74">
        <v>1200</v>
      </c>
      <c r="G432" s="74">
        <f t="shared" si="15"/>
        <v>300</v>
      </c>
      <c r="H432" s="57"/>
      <c r="I432" s="14"/>
      <c r="J432" s="14"/>
      <c r="K432" s="14"/>
    </row>
    <row r="433" spans="1:11" ht="135.75" customHeight="1" x14ac:dyDescent="0.25">
      <c r="A433" s="10">
        <v>137</v>
      </c>
      <c r="B433" s="55" t="s">
        <v>237</v>
      </c>
      <c r="C433" s="62" t="s">
        <v>232</v>
      </c>
      <c r="D433" s="17" t="s">
        <v>16</v>
      </c>
      <c r="E433" s="56">
        <v>4446.5</v>
      </c>
      <c r="F433" s="56">
        <v>4446.5</v>
      </c>
      <c r="G433" s="56">
        <f t="shared" si="15"/>
        <v>100</v>
      </c>
      <c r="H433" s="57">
        <v>100</v>
      </c>
      <c r="I433" s="14"/>
      <c r="J433" s="23" t="s">
        <v>343</v>
      </c>
      <c r="K433" s="14"/>
    </row>
    <row r="434" spans="1:11" ht="17.25" customHeight="1" x14ac:dyDescent="0.25">
      <c r="A434" s="10"/>
      <c r="B434" s="76" t="s">
        <v>13</v>
      </c>
      <c r="C434" s="62"/>
      <c r="D434" s="17"/>
      <c r="E434" s="74">
        <v>4446.5</v>
      </c>
      <c r="F434" s="74">
        <v>4446.5</v>
      </c>
      <c r="G434" s="74">
        <f t="shared" si="15"/>
        <v>100</v>
      </c>
      <c r="H434" s="57"/>
      <c r="I434" s="14"/>
      <c r="J434" s="14"/>
      <c r="K434" s="14"/>
    </row>
    <row r="435" spans="1:11" ht="95.25" customHeight="1" x14ac:dyDescent="0.25">
      <c r="A435" s="10">
        <v>138</v>
      </c>
      <c r="B435" s="55" t="s">
        <v>233</v>
      </c>
      <c r="C435" s="62" t="s">
        <v>232</v>
      </c>
      <c r="D435" s="17" t="s">
        <v>16</v>
      </c>
      <c r="E435" s="56">
        <v>500</v>
      </c>
      <c r="F435" s="56">
        <v>500</v>
      </c>
      <c r="G435" s="56">
        <f t="shared" si="15"/>
        <v>100</v>
      </c>
      <c r="H435" s="57">
        <v>100</v>
      </c>
      <c r="I435" s="14"/>
      <c r="J435" s="23" t="s">
        <v>343</v>
      </c>
      <c r="K435" s="14"/>
    </row>
    <row r="436" spans="1:11" ht="17.25" customHeight="1" x14ac:dyDescent="0.25">
      <c r="A436" s="10"/>
      <c r="B436" s="61" t="s">
        <v>19</v>
      </c>
      <c r="C436" s="62"/>
      <c r="D436" s="17"/>
      <c r="E436" s="74">
        <v>500</v>
      </c>
      <c r="F436" s="74">
        <v>500</v>
      </c>
      <c r="G436" s="74">
        <f t="shared" si="15"/>
        <v>100</v>
      </c>
      <c r="H436" s="57"/>
      <c r="I436" s="14"/>
      <c r="J436" s="14"/>
      <c r="K436" s="14"/>
    </row>
    <row r="437" spans="1:11" ht="161.25" customHeight="1" x14ac:dyDescent="0.25">
      <c r="A437" s="10">
        <v>139</v>
      </c>
      <c r="B437" s="55" t="s">
        <v>238</v>
      </c>
      <c r="C437" s="62" t="s">
        <v>232</v>
      </c>
      <c r="D437" s="17" t="s">
        <v>16</v>
      </c>
      <c r="E437" s="56">
        <v>200</v>
      </c>
      <c r="F437" s="56">
        <v>0</v>
      </c>
      <c r="G437" s="56">
        <f t="shared" si="15"/>
        <v>0</v>
      </c>
      <c r="H437" s="57">
        <v>100</v>
      </c>
      <c r="I437" s="14"/>
      <c r="J437" s="23" t="s">
        <v>343</v>
      </c>
      <c r="K437" s="14"/>
    </row>
    <row r="438" spans="1:11" ht="17.25" customHeight="1" x14ac:dyDescent="0.25">
      <c r="A438" s="10"/>
      <c r="B438" s="61" t="s">
        <v>19</v>
      </c>
      <c r="C438" s="62"/>
      <c r="D438" s="17"/>
      <c r="E438" s="74">
        <v>200</v>
      </c>
      <c r="F438" s="74">
        <v>0</v>
      </c>
      <c r="G438" s="74">
        <f t="shared" si="15"/>
        <v>0</v>
      </c>
      <c r="H438" s="57"/>
      <c r="I438" s="14"/>
      <c r="J438" s="14"/>
      <c r="K438" s="14"/>
    </row>
    <row r="439" spans="1:11" ht="117.75" customHeight="1" x14ac:dyDescent="0.25">
      <c r="A439" s="10">
        <v>140</v>
      </c>
      <c r="B439" s="55" t="s">
        <v>234</v>
      </c>
      <c r="C439" s="62" t="s">
        <v>232</v>
      </c>
      <c r="D439" s="17" t="s">
        <v>16</v>
      </c>
      <c r="E439" s="56">
        <v>200</v>
      </c>
      <c r="F439" s="56">
        <v>0</v>
      </c>
      <c r="G439" s="56">
        <f t="shared" si="15"/>
        <v>0</v>
      </c>
      <c r="H439" s="57">
        <v>100</v>
      </c>
      <c r="I439" s="14"/>
      <c r="J439" s="23" t="s">
        <v>343</v>
      </c>
      <c r="K439" s="14"/>
    </row>
    <row r="440" spans="1:11" ht="17.25" customHeight="1" x14ac:dyDescent="0.25">
      <c r="A440" s="10"/>
      <c r="B440" s="61" t="s">
        <v>19</v>
      </c>
      <c r="C440" s="62"/>
      <c r="D440" s="17"/>
      <c r="E440" s="74">
        <v>200</v>
      </c>
      <c r="F440" s="74">
        <v>0</v>
      </c>
      <c r="G440" s="74">
        <f t="shared" si="15"/>
        <v>0</v>
      </c>
      <c r="H440" s="57"/>
      <c r="I440" s="14"/>
      <c r="J440" s="14"/>
      <c r="K440" s="14"/>
    </row>
    <row r="441" spans="1:11" ht="99.75" customHeight="1" x14ac:dyDescent="0.25">
      <c r="A441" s="10">
        <v>141</v>
      </c>
      <c r="B441" s="55" t="s">
        <v>411</v>
      </c>
      <c r="C441" s="62" t="s">
        <v>232</v>
      </c>
      <c r="D441" s="17" t="s">
        <v>16</v>
      </c>
      <c r="E441" s="56">
        <v>1800</v>
      </c>
      <c r="F441" s="56">
        <v>1797.3</v>
      </c>
      <c r="G441" s="56">
        <f t="shared" si="15"/>
        <v>99.85</v>
      </c>
      <c r="H441" s="57">
        <v>100</v>
      </c>
      <c r="I441" s="14"/>
      <c r="J441" s="23" t="s">
        <v>343</v>
      </c>
      <c r="K441" s="14"/>
    </row>
    <row r="442" spans="1:11" ht="17.25" customHeight="1" x14ac:dyDescent="0.25">
      <c r="A442" s="10"/>
      <c r="B442" s="61" t="s">
        <v>13</v>
      </c>
      <c r="C442" s="62"/>
      <c r="D442" s="17"/>
      <c r="E442" s="74">
        <v>1800</v>
      </c>
      <c r="F442" s="74">
        <v>1797.3</v>
      </c>
      <c r="G442" s="74">
        <f t="shared" si="15"/>
        <v>99.85</v>
      </c>
      <c r="H442" s="57"/>
      <c r="I442" s="14"/>
      <c r="J442" s="14"/>
      <c r="K442" s="14"/>
    </row>
    <row r="443" spans="1:11" ht="84" customHeight="1" x14ac:dyDescent="0.25">
      <c r="A443" s="10">
        <v>142</v>
      </c>
      <c r="B443" s="55" t="s">
        <v>235</v>
      </c>
      <c r="C443" s="62" t="s">
        <v>232</v>
      </c>
      <c r="D443" s="17" t="s">
        <v>16</v>
      </c>
      <c r="E443" s="56">
        <v>600</v>
      </c>
      <c r="F443" s="56">
        <v>1900</v>
      </c>
      <c r="G443" s="56">
        <f t="shared" si="15"/>
        <v>316.66666666666663</v>
      </c>
      <c r="H443" s="57">
        <v>100</v>
      </c>
      <c r="I443" s="14"/>
      <c r="J443" s="23" t="s">
        <v>343</v>
      </c>
      <c r="K443" s="14"/>
    </row>
    <row r="444" spans="1:11" ht="17.25" customHeight="1" x14ac:dyDescent="0.25">
      <c r="A444" s="10"/>
      <c r="B444" s="61" t="s">
        <v>13</v>
      </c>
      <c r="C444" s="62"/>
      <c r="D444" s="17"/>
      <c r="E444" s="74">
        <v>600</v>
      </c>
      <c r="F444" s="74">
        <v>600</v>
      </c>
      <c r="G444" s="74">
        <f t="shared" si="15"/>
        <v>100</v>
      </c>
      <c r="H444" s="57"/>
      <c r="I444" s="14"/>
      <c r="J444" s="14"/>
      <c r="K444" s="14"/>
    </row>
    <row r="445" spans="1:11" ht="25.5" customHeight="1" x14ac:dyDescent="0.25">
      <c r="A445" s="10"/>
      <c r="B445" s="61" t="s">
        <v>19</v>
      </c>
      <c r="C445" s="62"/>
      <c r="D445" s="17"/>
      <c r="E445" s="74">
        <v>0</v>
      </c>
      <c r="F445" s="74">
        <v>1300</v>
      </c>
      <c r="G445" s="74"/>
      <c r="H445" s="57"/>
      <c r="I445" s="14"/>
      <c r="J445" s="14"/>
      <c r="K445" s="14"/>
    </row>
    <row r="446" spans="1:11" ht="85.5" customHeight="1" x14ac:dyDescent="0.25">
      <c r="A446" s="10">
        <v>143</v>
      </c>
      <c r="B446" s="55" t="s">
        <v>236</v>
      </c>
      <c r="C446" s="62" t="s">
        <v>232</v>
      </c>
      <c r="D446" s="17" t="s">
        <v>16</v>
      </c>
      <c r="E446" s="56">
        <v>400</v>
      </c>
      <c r="F446" s="56">
        <v>400</v>
      </c>
      <c r="G446" s="56">
        <f t="shared" si="15"/>
        <v>100</v>
      </c>
      <c r="H446" s="57">
        <v>100</v>
      </c>
      <c r="I446" s="14"/>
      <c r="J446" s="23" t="s">
        <v>343</v>
      </c>
      <c r="K446" s="14"/>
    </row>
    <row r="447" spans="1:11" ht="17.25" customHeight="1" x14ac:dyDescent="0.25">
      <c r="A447" s="10"/>
      <c r="B447" s="61" t="s">
        <v>13</v>
      </c>
      <c r="C447" s="62"/>
      <c r="D447" s="17"/>
      <c r="E447" s="74">
        <v>400</v>
      </c>
      <c r="F447" s="74">
        <v>400</v>
      </c>
      <c r="G447" s="74">
        <f t="shared" si="15"/>
        <v>100</v>
      </c>
      <c r="H447" s="57">
        <v>100</v>
      </c>
      <c r="I447" s="14"/>
      <c r="J447" s="14"/>
      <c r="K447" s="14"/>
    </row>
    <row r="448" spans="1:11" ht="70.5" customHeight="1" x14ac:dyDescent="0.25">
      <c r="A448" s="10">
        <v>144</v>
      </c>
      <c r="B448" s="55" t="s">
        <v>239</v>
      </c>
      <c r="C448" s="62" t="s">
        <v>50</v>
      </c>
      <c r="D448" s="17">
        <v>2016</v>
      </c>
      <c r="E448" s="56">
        <v>3784</v>
      </c>
      <c r="F448" s="56">
        <v>3784</v>
      </c>
      <c r="G448" s="56">
        <f t="shared" si="15"/>
        <v>100</v>
      </c>
      <c r="H448" s="57">
        <v>100</v>
      </c>
      <c r="I448" s="14"/>
      <c r="J448" s="23" t="s">
        <v>372</v>
      </c>
      <c r="K448" s="14"/>
    </row>
    <row r="449" spans="1:11" ht="17.25" customHeight="1" x14ac:dyDescent="0.25">
      <c r="A449" s="10"/>
      <c r="B449" s="61" t="s">
        <v>13</v>
      </c>
      <c r="C449" s="62"/>
      <c r="D449" s="17"/>
      <c r="E449" s="74">
        <v>3784</v>
      </c>
      <c r="F449" s="74">
        <v>3784</v>
      </c>
      <c r="G449" s="74">
        <f t="shared" si="15"/>
        <v>100</v>
      </c>
      <c r="H449" s="57"/>
      <c r="I449" s="14"/>
      <c r="J449" s="14"/>
      <c r="K449" s="14"/>
    </row>
    <row r="450" spans="1:11" ht="120.75" customHeight="1" x14ac:dyDescent="0.25">
      <c r="A450" s="10">
        <v>145</v>
      </c>
      <c r="B450" s="55" t="s">
        <v>240</v>
      </c>
      <c r="C450" s="62" t="s">
        <v>197</v>
      </c>
      <c r="D450" s="17" t="s">
        <v>16</v>
      </c>
      <c r="E450" s="56">
        <v>300</v>
      </c>
      <c r="F450" s="56">
        <v>1000</v>
      </c>
      <c r="G450" s="56">
        <f t="shared" si="15"/>
        <v>333.33333333333337</v>
      </c>
      <c r="H450" s="57">
        <v>100</v>
      </c>
      <c r="I450" s="14"/>
      <c r="J450" s="23" t="s">
        <v>343</v>
      </c>
      <c r="K450" s="14"/>
    </row>
    <row r="451" spans="1:11" ht="17.25" customHeight="1" x14ac:dyDescent="0.25">
      <c r="A451" s="10"/>
      <c r="B451" s="61" t="s">
        <v>19</v>
      </c>
      <c r="C451" s="62"/>
      <c r="D451" s="17"/>
      <c r="E451" s="74">
        <v>300</v>
      </c>
      <c r="F451" s="74">
        <v>1000</v>
      </c>
      <c r="G451" s="74">
        <f t="shared" si="15"/>
        <v>333.33333333333337</v>
      </c>
      <c r="H451" s="57"/>
      <c r="I451" s="14"/>
      <c r="J451" s="14"/>
      <c r="K451" s="14"/>
    </row>
    <row r="452" spans="1:11" ht="129.75" customHeight="1" x14ac:dyDescent="0.25">
      <c r="A452" s="10">
        <v>146</v>
      </c>
      <c r="B452" s="55" t="s">
        <v>241</v>
      </c>
      <c r="C452" s="62" t="s">
        <v>197</v>
      </c>
      <c r="D452" s="17" t="s">
        <v>16</v>
      </c>
      <c r="E452" s="56">
        <v>500</v>
      </c>
      <c r="F452" s="56">
        <v>500</v>
      </c>
      <c r="G452" s="56">
        <f t="shared" si="15"/>
        <v>100</v>
      </c>
      <c r="H452" s="57">
        <v>100</v>
      </c>
      <c r="I452" s="14"/>
      <c r="J452" s="23" t="s">
        <v>343</v>
      </c>
      <c r="K452" s="14"/>
    </row>
    <row r="453" spans="1:11" ht="17.25" customHeight="1" x14ac:dyDescent="0.25">
      <c r="A453" s="10"/>
      <c r="B453" s="61" t="s">
        <v>19</v>
      </c>
      <c r="C453" s="62"/>
      <c r="D453" s="17"/>
      <c r="E453" s="74">
        <v>500</v>
      </c>
      <c r="F453" s="74">
        <v>500</v>
      </c>
      <c r="G453" s="74">
        <f t="shared" si="15"/>
        <v>100</v>
      </c>
      <c r="H453" s="57"/>
      <c r="I453" s="14"/>
      <c r="J453" s="14"/>
      <c r="K453" s="14"/>
    </row>
    <row r="454" spans="1:11" ht="115.5" customHeight="1" x14ac:dyDescent="0.25">
      <c r="A454" s="10">
        <v>147</v>
      </c>
      <c r="B454" s="55" t="s">
        <v>242</v>
      </c>
      <c r="C454" s="62" t="s">
        <v>197</v>
      </c>
      <c r="D454" s="17" t="s">
        <v>16</v>
      </c>
      <c r="E454" s="56">
        <v>200</v>
      </c>
      <c r="F454" s="56">
        <v>200</v>
      </c>
      <c r="G454" s="56">
        <f t="shared" si="15"/>
        <v>100</v>
      </c>
      <c r="H454" s="57">
        <v>100</v>
      </c>
      <c r="I454" s="14"/>
      <c r="J454" s="23" t="s">
        <v>343</v>
      </c>
      <c r="K454" s="14"/>
    </row>
    <row r="455" spans="1:11" ht="17.25" customHeight="1" x14ac:dyDescent="0.25">
      <c r="A455" s="10"/>
      <c r="B455" s="61" t="s">
        <v>19</v>
      </c>
      <c r="C455" s="62"/>
      <c r="D455" s="17"/>
      <c r="E455" s="74">
        <v>200</v>
      </c>
      <c r="F455" s="74">
        <v>200</v>
      </c>
      <c r="G455" s="74">
        <f t="shared" si="15"/>
        <v>100</v>
      </c>
      <c r="H455" s="57"/>
      <c r="I455" s="14"/>
      <c r="J455" s="14"/>
      <c r="K455" s="14"/>
    </row>
    <row r="456" spans="1:11" ht="81.75" customHeight="1" x14ac:dyDescent="0.25">
      <c r="A456" s="10">
        <v>148</v>
      </c>
      <c r="B456" s="55" t="s">
        <v>243</v>
      </c>
      <c r="C456" s="62" t="s">
        <v>197</v>
      </c>
      <c r="D456" s="17" t="s">
        <v>248</v>
      </c>
      <c r="E456" s="56">
        <v>0</v>
      </c>
      <c r="F456" s="56">
        <v>1000</v>
      </c>
      <c r="G456" s="74"/>
      <c r="H456" s="66">
        <v>100</v>
      </c>
      <c r="I456" s="14"/>
      <c r="J456" s="23" t="s">
        <v>412</v>
      </c>
      <c r="K456" s="14"/>
    </row>
    <row r="457" spans="1:11" ht="17.25" customHeight="1" x14ac:dyDescent="0.25">
      <c r="A457" s="10"/>
      <c r="B457" s="61" t="s">
        <v>19</v>
      </c>
      <c r="C457" s="62"/>
      <c r="D457" s="17"/>
      <c r="E457" s="74">
        <v>0</v>
      </c>
      <c r="F457" s="74">
        <v>1000</v>
      </c>
      <c r="G457" s="74"/>
      <c r="H457" s="66"/>
      <c r="I457" s="14"/>
      <c r="J457" s="14"/>
      <c r="K457" s="14"/>
    </row>
    <row r="458" spans="1:11" ht="81.75" customHeight="1" x14ac:dyDescent="0.25">
      <c r="A458" s="10">
        <v>149</v>
      </c>
      <c r="B458" s="55" t="s">
        <v>244</v>
      </c>
      <c r="C458" s="62" t="s">
        <v>197</v>
      </c>
      <c r="D458" s="17" t="s">
        <v>248</v>
      </c>
      <c r="E458" s="56">
        <v>0</v>
      </c>
      <c r="F458" s="56">
        <v>385</v>
      </c>
      <c r="G458" s="74"/>
      <c r="H458" s="66">
        <v>100</v>
      </c>
      <c r="I458" s="14"/>
      <c r="J458" s="23" t="s">
        <v>412</v>
      </c>
      <c r="K458" s="14"/>
    </row>
    <row r="459" spans="1:11" ht="17.25" customHeight="1" x14ac:dyDescent="0.25">
      <c r="A459" s="10"/>
      <c r="B459" s="61" t="s">
        <v>19</v>
      </c>
      <c r="C459" s="62"/>
      <c r="D459" s="17"/>
      <c r="E459" s="74">
        <v>0</v>
      </c>
      <c r="F459" s="74">
        <v>385</v>
      </c>
      <c r="G459" s="74"/>
      <c r="H459" s="57"/>
      <c r="I459" s="14"/>
      <c r="J459" s="14"/>
      <c r="K459" s="14"/>
    </row>
    <row r="460" spans="1:11" ht="68.25" customHeight="1" x14ac:dyDescent="0.25">
      <c r="A460" s="10">
        <v>150</v>
      </c>
      <c r="B460" s="55" t="s">
        <v>245</v>
      </c>
      <c r="C460" s="62" t="s">
        <v>197</v>
      </c>
      <c r="D460" s="17" t="s">
        <v>16</v>
      </c>
      <c r="E460" s="56">
        <v>1500</v>
      </c>
      <c r="F460" s="56">
        <v>41500</v>
      </c>
      <c r="G460" s="56">
        <f t="shared" si="15"/>
        <v>2766.666666666667</v>
      </c>
      <c r="H460" s="57">
        <v>100</v>
      </c>
      <c r="I460" s="14"/>
      <c r="J460" s="23" t="s">
        <v>343</v>
      </c>
      <c r="K460" s="14"/>
    </row>
    <row r="461" spans="1:11" ht="17.25" customHeight="1" x14ac:dyDescent="0.25">
      <c r="A461" s="10"/>
      <c r="B461" s="61" t="s">
        <v>19</v>
      </c>
      <c r="C461" s="62"/>
      <c r="D461" s="17"/>
      <c r="E461" s="74">
        <v>1500</v>
      </c>
      <c r="F461" s="74">
        <v>41500</v>
      </c>
      <c r="G461" s="74">
        <f t="shared" si="15"/>
        <v>2766.666666666667</v>
      </c>
      <c r="H461" s="57"/>
      <c r="I461" s="14"/>
      <c r="J461" s="14"/>
      <c r="K461" s="14"/>
    </row>
    <row r="462" spans="1:11" ht="63.75" customHeight="1" x14ac:dyDescent="0.25">
      <c r="A462" s="10">
        <v>151</v>
      </c>
      <c r="B462" s="55" t="s">
        <v>246</v>
      </c>
      <c r="C462" s="62" t="s">
        <v>197</v>
      </c>
      <c r="D462" s="17" t="s">
        <v>16</v>
      </c>
      <c r="E462" s="56">
        <v>1000</v>
      </c>
      <c r="F462" s="56">
        <v>47000</v>
      </c>
      <c r="G462" s="56">
        <f t="shared" si="15"/>
        <v>4700</v>
      </c>
      <c r="H462" s="57">
        <v>100</v>
      </c>
      <c r="I462" s="14"/>
      <c r="J462" s="23" t="s">
        <v>343</v>
      </c>
      <c r="K462" s="14"/>
    </row>
    <row r="463" spans="1:11" ht="17.25" customHeight="1" x14ac:dyDescent="0.25">
      <c r="A463" s="10"/>
      <c r="B463" s="61" t="s">
        <v>19</v>
      </c>
      <c r="C463" s="62"/>
      <c r="D463" s="17"/>
      <c r="E463" s="74">
        <v>1000</v>
      </c>
      <c r="F463" s="74">
        <v>47000</v>
      </c>
      <c r="G463" s="74">
        <f t="shared" si="15"/>
        <v>4700</v>
      </c>
      <c r="H463" s="57"/>
      <c r="I463" s="14"/>
      <c r="J463" s="14"/>
      <c r="K463" s="14"/>
    </row>
    <row r="464" spans="1:11" ht="68.25" customHeight="1" x14ac:dyDescent="0.25">
      <c r="A464" s="10">
        <v>152</v>
      </c>
      <c r="B464" s="55" t="s">
        <v>247</v>
      </c>
      <c r="C464" s="67" t="s">
        <v>197</v>
      </c>
      <c r="D464" s="17" t="s">
        <v>16</v>
      </c>
      <c r="E464" s="69">
        <v>1000</v>
      </c>
      <c r="F464" s="69">
        <v>3000</v>
      </c>
      <c r="G464" s="69">
        <f t="shared" si="15"/>
        <v>300</v>
      </c>
      <c r="H464" s="70">
        <v>100</v>
      </c>
      <c r="I464" s="14"/>
      <c r="J464" s="23" t="s">
        <v>343</v>
      </c>
      <c r="K464" s="14"/>
    </row>
    <row r="465" spans="1:11" ht="17.25" customHeight="1" x14ac:dyDescent="0.25">
      <c r="A465" s="10"/>
      <c r="B465" s="61" t="s">
        <v>19</v>
      </c>
      <c r="C465" s="62"/>
      <c r="D465" s="17"/>
      <c r="E465" s="74">
        <v>1000</v>
      </c>
      <c r="F465" s="74">
        <v>3000</v>
      </c>
      <c r="G465" s="74">
        <v>3000</v>
      </c>
      <c r="H465" s="57"/>
      <c r="I465" s="14"/>
      <c r="J465" s="14"/>
      <c r="K465" s="14"/>
    </row>
    <row r="466" spans="1:11" ht="149.25" customHeight="1" x14ac:dyDescent="0.25">
      <c r="A466" s="10">
        <v>153</v>
      </c>
      <c r="B466" s="55" t="s">
        <v>413</v>
      </c>
      <c r="C466" s="62" t="s">
        <v>204</v>
      </c>
      <c r="D466" s="17" t="s">
        <v>16</v>
      </c>
      <c r="E466" s="56">
        <v>500</v>
      </c>
      <c r="F466" s="56">
        <v>500</v>
      </c>
      <c r="G466" s="56">
        <f t="shared" ref="G466:G503" si="16">F466/E466*100</f>
        <v>100</v>
      </c>
      <c r="H466" s="57">
        <v>100</v>
      </c>
      <c r="I466" s="48"/>
      <c r="J466" s="23" t="s">
        <v>343</v>
      </c>
      <c r="K466" s="14"/>
    </row>
    <row r="467" spans="1:11" ht="17.25" customHeight="1" x14ac:dyDescent="0.25">
      <c r="A467" s="10"/>
      <c r="B467" s="61" t="s">
        <v>19</v>
      </c>
      <c r="C467" s="62"/>
      <c r="D467" s="17"/>
      <c r="E467" s="74">
        <v>500</v>
      </c>
      <c r="F467" s="74">
        <v>500</v>
      </c>
      <c r="G467" s="74">
        <f t="shared" si="16"/>
        <v>100</v>
      </c>
      <c r="H467" s="57"/>
      <c r="I467" s="48"/>
      <c r="J467" s="48"/>
      <c r="K467" s="14"/>
    </row>
    <row r="468" spans="1:11" ht="63.75" customHeight="1" x14ac:dyDescent="0.25">
      <c r="A468" s="10">
        <v>154</v>
      </c>
      <c r="B468" s="55" t="s">
        <v>249</v>
      </c>
      <c r="C468" s="62" t="s">
        <v>204</v>
      </c>
      <c r="D468" s="17" t="s">
        <v>16</v>
      </c>
      <c r="E468" s="56">
        <v>500</v>
      </c>
      <c r="F468" s="56">
        <v>500</v>
      </c>
      <c r="G468" s="56">
        <f t="shared" si="16"/>
        <v>100</v>
      </c>
      <c r="H468" s="57">
        <v>100</v>
      </c>
      <c r="I468" s="48"/>
      <c r="J468" s="23" t="s">
        <v>343</v>
      </c>
      <c r="K468" s="14"/>
    </row>
    <row r="469" spans="1:11" ht="17.25" customHeight="1" x14ac:dyDescent="0.25">
      <c r="A469" s="10"/>
      <c r="B469" s="61" t="s">
        <v>19</v>
      </c>
      <c r="C469" s="62"/>
      <c r="D469" s="17"/>
      <c r="E469" s="74">
        <v>500</v>
      </c>
      <c r="F469" s="74">
        <v>500</v>
      </c>
      <c r="G469" s="74">
        <f t="shared" si="16"/>
        <v>100</v>
      </c>
      <c r="H469" s="57"/>
      <c r="I469" s="48"/>
      <c r="J469" s="48"/>
      <c r="K469" s="14"/>
    </row>
    <row r="470" spans="1:11" ht="147" customHeight="1" x14ac:dyDescent="0.25">
      <c r="A470" s="10">
        <v>155</v>
      </c>
      <c r="B470" s="55" t="s">
        <v>250</v>
      </c>
      <c r="C470" s="62" t="s">
        <v>204</v>
      </c>
      <c r="D470" s="17" t="s">
        <v>16</v>
      </c>
      <c r="E470" s="56">
        <v>200</v>
      </c>
      <c r="F470" s="56">
        <v>0</v>
      </c>
      <c r="G470" s="56">
        <f t="shared" si="16"/>
        <v>0</v>
      </c>
      <c r="H470" s="57">
        <v>100</v>
      </c>
      <c r="I470" s="48"/>
      <c r="J470" s="23" t="s">
        <v>343</v>
      </c>
      <c r="K470" s="14"/>
    </row>
    <row r="471" spans="1:11" ht="17.25" customHeight="1" x14ac:dyDescent="0.25">
      <c r="A471" s="10"/>
      <c r="B471" s="61" t="s">
        <v>19</v>
      </c>
      <c r="C471" s="62"/>
      <c r="D471" s="17"/>
      <c r="E471" s="74">
        <v>200</v>
      </c>
      <c r="F471" s="74">
        <v>0</v>
      </c>
      <c r="G471" s="74">
        <f t="shared" si="16"/>
        <v>0</v>
      </c>
      <c r="H471" s="57"/>
      <c r="I471" s="48"/>
      <c r="J471" s="23"/>
      <c r="K471" s="14"/>
    </row>
    <row r="472" spans="1:11" ht="61.5" customHeight="1" x14ac:dyDescent="0.25">
      <c r="A472" s="10">
        <v>156</v>
      </c>
      <c r="B472" s="55" t="s">
        <v>414</v>
      </c>
      <c r="C472" s="62" t="s">
        <v>204</v>
      </c>
      <c r="D472" s="17" t="s">
        <v>415</v>
      </c>
      <c r="E472" s="56">
        <v>45000</v>
      </c>
      <c r="F472" s="56">
        <v>0</v>
      </c>
      <c r="G472" s="56">
        <f t="shared" si="16"/>
        <v>0</v>
      </c>
      <c r="H472" s="57">
        <v>0</v>
      </c>
      <c r="I472" s="62" t="s">
        <v>416</v>
      </c>
      <c r="J472" s="23" t="s">
        <v>417</v>
      </c>
      <c r="K472" s="55" t="s">
        <v>418</v>
      </c>
    </row>
    <row r="473" spans="1:11" ht="17.25" customHeight="1" x14ac:dyDescent="0.25">
      <c r="A473" s="10"/>
      <c r="B473" s="61" t="s">
        <v>19</v>
      </c>
      <c r="C473" s="62"/>
      <c r="D473" s="17"/>
      <c r="E473" s="74">
        <v>22500</v>
      </c>
      <c r="F473" s="74">
        <v>0</v>
      </c>
      <c r="G473" s="74">
        <f t="shared" si="16"/>
        <v>0</v>
      </c>
      <c r="H473" s="57"/>
      <c r="I473" s="48"/>
      <c r="J473" s="48"/>
      <c r="K473" s="14"/>
    </row>
    <row r="474" spans="1:11" ht="17.25" customHeight="1" x14ac:dyDescent="0.25">
      <c r="A474" s="10"/>
      <c r="B474" s="61" t="s">
        <v>22</v>
      </c>
      <c r="C474" s="62"/>
      <c r="D474" s="17"/>
      <c r="E474" s="74">
        <v>22500</v>
      </c>
      <c r="F474" s="74">
        <v>0</v>
      </c>
      <c r="G474" s="74">
        <f t="shared" si="16"/>
        <v>0</v>
      </c>
      <c r="H474" s="57"/>
      <c r="I474" s="48"/>
      <c r="J474" s="48"/>
      <c r="K474" s="14"/>
    </row>
    <row r="475" spans="1:11" ht="114.75" customHeight="1" x14ac:dyDescent="0.25">
      <c r="A475" s="10">
        <v>157</v>
      </c>
      <c r="B475" s="55" t="s">
        <v>251</v>
      </c>
      <c r="C475" s="62" t="s">
        <v>204</v>
      </c>
      <c r="D475" s="17" t="s">
        <v>16</v>
      </c>
      <c r="E475" s="56">
        <v>300</v>
      </c>
      <c r="F475" s="56">
        <v>300</v>
      </c>
      <c r="G475" s="56">
        <f t="shared" si="16"/>
        <v>100</v>
      </c>
      <c r="H475" s="57">
        <v>100</v>
      </c>
      <c r="I475" s="48"/>
      <c r="J475" s="23" t="s">
        <v>343</v>
      </c>
      <c r="K475" s="14"/>
    </row>
    <row r="476" spans="1:11" ht="17.25" customHeight="1" x14ac:dyDescent="0.25">
      <c r="A476" s="10"/>
      <c r="B476" s="61" t="s">
        <v>19</v>
      </c>
      <c r="C476" s="62"/>
      <c r="D476" s="17"/>
      <c r="E476" s="74">
        <v>300</v>
      </c>
      <c r="F476" s="74">
        <v>300</v>
      </c>
      <c r="G476" s="74">
        <f t="shared" si="16"/>
        <v>100</v>
      </c>
      <c r="H476" s="57">
        <v>100</v>
      </c>
      <c r="I476" s="48"/>
      <c r="J476" s="48"/>
      <c r="K476" s="14"/>
    </row>
    <row r="477" spans="1:11" ht="81" customHeight="1" x14ac:dyDescent="0.25">
      <c r="A477" s="10">
        <v>158</v>
      </c>
      <c r="B477" s="55" t="s">
        <v>252</v>
      </c>
      <c r="C477" s="62" t="s">
        <v>204</v>
      </c>
      <c r="D477" s="17" t="s">
        <v>16</v>
      </c>
      <c r="E477" s="56">
        <v>400</v>
      </c>
      <c r="F477" s="56">
        <v>400</v>
      </c>
      <c r="G477" s="56">
        <f t="shared" si="16"/>
        <v>100</v>
      </c>
      <c r="H477" s="57"/>
      <c r="I477" s="48"/>
      <c r="J477" s="23" t="s">
        <v>343</v>
      </c>
      <c r="K477" s="14"/>
    </row>
    <row r="478" spans="1:11" ht="17.25" customHeight="1" x14ac:dyDescent="0.25">
      <c r="A478" s="10"/>
      <c r="B478" s="61" t="s">
        <v>19</v>
      </c>
      <c r="C478" s="62"/>
      <c r="D478" s="17"/>
      <c r="E478" s="74">
        <v>400</v>
      </c>
      <c r="F478" s="74">
        <v>400</v>
      </c>
      <c r="G478" s="74">
        <f t="shared" si="16"/>
        <v>100</v>
      </c>
      <c r="H478" s="57"/>
      <c r="I478" s="48"/>
      <c r="J478" s="48"/>
      <c r="K478" s="14"/>
    </row>
    <row r="479" spans="1:11" ht="84" customHeight="1" x14ac:dyDescent="0.25">
      <c r="A479" s="10">
        <v>159</v>
      </c>
      <c r="B479" s="55" t="s">
        <v>253</v>
      </c>
      <c r="C479" s="62" t="s">
        <v>204</v>
      </c>
      <c r="D479" s="17" t="s">
        <v>16</v>
      </c>
      <c r="E479" s="56">
        <v>300</v>
      </c>
      <c r="F479" s="56">
        <v>300</v>
      </c>
      <c r="G479" s="56">
        <f t="shared" si="16"/>
        <v>100</v>
      </c>
      <c r="H479" s="57">
        <v>100</v>
      </c>
      <c r="I479" s="48"/>
      <c r="J479" s="23" t="s">
        <v>343</v>
      </c>
      <c r="K479" s="14"/>
    </row>
    <row r="480" spans="1:11" ht="17.25" customHeight="1" x14ac:dyDescent="0.25">
      <c r="A480" s="10"/>
      <c r="B480" s="61" t="s">
        <v>19</v>
      </c>
      <c r="C480" s="62"/>
      <c r="D480" s="17"/>
      <c r="E480" s="74">
        <v>300</v>
      </c>
      <c r="F480" s="74">
        <v>300</v>
      </c>
      <c r="G480" s="74">
        <f t="shared" si="16"/>
        <v>100</v>
      </c>
      <c r="H480" s="57"/>
      <c r="I480" s="48"/>
      <c r="J480" s="48"/>
      <c r="K480" s="14"/>
    </row>
    <row r="481" spans="1:11" ht="61.5" customHeight="1" x14ac:dyDescent="0.25">
      <c r="A481" s="10">
        <v>160</v>
      </c>
      <c r="B481" s="55" t="s">
        <v>254</v>
      </c>
      <c r="C481" s="62" t="s">
        <v>204</v>
      </c>
      <c r="D481" s="17" t="s">
        <v>16</v>
      </c>
      <c r="E481" s="56">
        <v>20600</v>
      </c>
      <c r="F481" s="56">
        <v>36900</v>
      </c>
      <c r="G481" s="56">
        <f t="shared" si="16"/>
        <v>179.12621359223303</v>
      </c>
      <c r="H481" s="57">
        <v>100</v>
      </c>
      <c r="I481" s="48"/>
      <c r="J481" s="23" t="s">
        <v>343</v>
      </c>
      <c r="K481" s="14"/>
    </row>
    <row r="482" spans="1:11" ht="17.25" customHeight="1" x14ac:dyDescent="0.25">
      <c r="A482" s="10"/>
      <c r="B482" s="61" t="s">
        <v>22</v>
      </c>
      <c r="C482" s="62"/>
      <c r="D482" s="17"/>
      <c r="E482" s="74">
        <v>10000</v>
      </c>
      <c r="F482" s="74">
        <v>6900</v>
      </c>
      <c r="G482" s="74">
        <f t="shared" si="16"/>
        <v>69</v>
      </c>
      <c r="H482" s="57"/>
      <c r="I482" s="48"/>
      <c r="J482" s="48"/>
      <c r="K482" s="14"/>
    </row>
    <row r="483" spans="1:11" ht="17.25" customHeight="1" x14ac:dyDescent="0.25">
      <c r="A483" s="10"/>
      <c r="B483" s="61" t="s">
        <v>19</v>
      </c>
      <c r="C483" s="62"/>
      <c r="D483" s="17"/>
      <c r="E483" s="74">
        <v>10600</v>
      </c>
      <c r="F483" s="74">
        <v>30000</v>
      </c>
      <c r="G483" s="74">
        <f t="shared" si="16"/>
        <v>283.01886792452831</v>
      </c>
      <c r="H483" s="57"/>
      <c r="I483" s="48"/>
      <c r="J483" s="48"/>
      <c r="K483" s="14"/>
    </row>
    <row r="484" spans="1:11" ht="17.25" customHeight="1" x14ac:dyDescent="0.25">
      <c r="A484" s="10"/>
      <c r="B484" s="48" t="s">
        <v>155</v>
      </c>
      <c r="C484" s="77"/>
      <c r="D484" s="77"/>
      <c r="E484" s="74"/>
      <c r="F484" s="74"/>
      <c r="G484" s="74"/>
      <c r="H484" s="57"/>
      <c r="I484" s="48"/>
      <c r="J484" s="48"/>
      <c r="K484" s="14"/>
    </row>
    <row r="485" spans="1:11" ht="17.25" customHeight="1" x14ac:dyDescent="0.25">
      <c r="A485" s="10"/>
      <c r="B485" s="55" t="s">
        <v>255</v>
      </c>
      <c r="C485" s="77"/>
      <c r="D485" s="77"/>
      <c r="E485" s="74">
        <v>20000</v>
      </c>
      <c r="F485" s="74">
        <v>36900</v>
      </c>
      <c r="G485" s="74">
        <f t="shared" si="16"/>
        <v>184.5</v>
      </c>
      <c r="H485" s="57"/>
      <c r="I485" s="48"/>
      <c r="J485" s="48"/>
      <c r="K485" s="14"/>
    </row>
    <row r="486" spans="1:11" ht="17.25" customHeight="1" x14ac:dyDescent="0.25">
      <c r="A486" s="10"/>
      <c r="B486" s="61" t="s">
        <v>22</v>
      </c>
      <c r="C486" s="77"/>
      <c r="D486" s="77"/>
      <c r="E486" s="74">
        <v>10000</v>
      </c>
      <c r="F486" s="74">
        <v>6900</v>
      </c>
      <c r="G486" s="74">
        <f t="shared" si="16"/>
        <v>69</v>
      </c>
      <c r="H486" s="57"/>
      <c r="I486" s="48"/>
      <c r="J486" s="48"/>
      <c r="K486" s="14"/>
    </row>
    <row r="487" spans="1:11" ht="17.25" customHeight="1" x14ac:dyDescent="0.25">
      <c r="A487" s="10"/>
      <c r="B487" s="61" t="s">
        <v>19</v>
      </c>
      <c r="C487" s="77"/>
      <c r="D487" s="77"/>
      <c r="E487" s="74">
        <v>10000</v>
      </c>
      <c r="F487" s="74">
        <v>30000</v>
      </c>
      <c r="G487" s="74">
        <f t="shared" si="16"/>
        <v>300</v>
      </c>
      <c r="H487" s="57"/>
      <c r="I487" s="48"/>
      <c r="J487" s="48"/>
      <c r="K487" s="14"/>
    </row>
    <row r="488" spans="1:11" ht="17.25" customHeight="1" x14ac:dyDescent="0.25">
      <c r="A488" s="10"/>
      <c r="B488" s="55" t="s">
        <v>419</v>
      </c>
      <c r="C488" s="77"/>
      <c r="D488" s="77"/>
      <c r="E488" s="74">
        <v>600</v>
      </c>
      <c r="F488" s="74">
        <v>0</v>
      </c>
      <c r="G488" s="74">
        <f t="shared" si="16"/>
        <v>0</v>
      </c>
      <c r="H488" s="57"/>
      <c r="I488" s="48"/>
      <c r="J488" s="48"/>
      <c r="K488" s="14"/>
    </row>
    <row r="489" spans="1:11" ht="17.25" customHeight="1" x14ac:dyDescent="0.25">
      <c r="A489" s="10"/>
      <c r="B489" s="61" t="s">
        <v>19</v>
      </c>
      <c r="C489" s="77"/>
      <c r="D489" s="77"/>
      <c r="E489" s="74">
        <v>600</v>
      </c>
      <c r="F489" s="74">
        <v>0</v>
      </c>
      <c r="G489" s="74">
        <f t="shared" si="16"/>
        <v>0</v>
      </c>
      <c r="H489" s="57"/>
      <c r="I489" s="48"/>
      <c r="J489" s="48"/>
      <c r="K489" s="14"/>
    </row>
    <row r="490" spans="1:11" ht="69.75" customHeight="1" x14ac:dyDescent="0.25">
      <c r="A490" s="10">
        <v>161</v>
      </c>
      <c r="B490" s="55" t="s">
        <v>256</v>
      </c>
      <c r="C490" s="62" t="s">
        <v>204</v>
      </c>
      <c r="D490" s="17" t="s">
        <v>16</v>
      </c>
      <c r="E490" s="56">
        <v>2500</v>
      </c>
      <c r="F490" s="56">
        <v>2500</v>
      </c>
      <c r="G490" s="56">
        <f t="shared" si="16"/>
        <v>100</v>
      </c>
      <c r="H490" s="57">
        <v>100</v>
      </c>
      <c r="I490" s="48"/>
      <c r="J490" s="23" t="s">
        <v>343</v>
      </c>
      <c r="K490" s="14"/>
    </row>
    <row r="491" spans="1:11" ht="17.25" customHeight="1" x14ac:dyDescent="0.25">
      <c r="A491" s="10"/>
      <c r="B491" s="61" t="s">
        <v>19</v>
      </c>
      <c r="C491" s="77"/>
      <c r="D491" s="77"/>
      <c r="E491" s="74">
        <v>2500</v>
      </c>
      <c r="F491" s="74">
        <v>2500</v>
      </c>
      <c r="G491" s="74">
        <f t="shared" si="16"/>
        <v>100</v>
      </c>
      <c r="H491" s="57"/>
      <c r="I491" s="48"/>
      <c r="J491" s="48"/>
      <c r="K491" s="14"/>
    </row>
    <row r="492" spans="1:11" ht="81.75" customHeight="1" x14ac:dyDescent="0.25">
      <c r="A492" s="10">
        <v>162</v>
      </c>
      <c r="B492" s="55" t="s">
        <v>257</v>
      </c>
      <c r="C492" s="62" t="s">
        <v>204</v>
      </c>
      <c r="D492" s="17" t="s">
        <v>16</v>
      </c>
      <c r="E492" s="56">
        <v>700</v>
      </c>
      <c r="F492" s="56">
        <v>700</v>
      </c>
      <c r="G492" s="56">
        <f t="shared" si="16"/>
        <v>100</v>
      </c>
      <c r="H492" s="57">
        <v>100</v>
      </c>
      <c r="I492" s="48"/>
      <c r="J492" s="23" t="s">
        <v>343</v>
      </c>
      <c r="K492" s="14"/>
    </row>
    <row r="493" spans="1:11" ht="17.25" customHeight="1" x14ac:dyDescent="0.25">
      <c r="A493" s="10"/>
      <c r="B493" s="61" t="s">
        <v>19</v>
      </c>
      <c r="C493" s="77"/>
      <c r="D493" s="77"/>
      <c r="E493" s="74">
        <v>700</v>
      </c>
      <c r="F493" s="74">
        <v>700</v>
      </c>
      <c r="G493" s="74">
        <f t="shared" si="16"/>
        <v>100</v>
      </c>
      <c r="H493" s="57"/>
      <c r="I493" s="48"/>
      <c r="J493" s="48"/>
      <c r="K493" s="14"/>
    </row>
    <row r="494" spans="1:11" ht="84" customHeight="1" x14ac:dyDescent="0.25">
      <c r="A494" s="10">
        <v>163</v>
      </c>
      <c r="B494" s="55" t="s">
        <v>258</v>
      </c>
      <c r="C494" s="62" t="s">
        <v>206</v>
      </c>
      <c r="D494" s="17" t="s">
        <v>16</v>
      </c>
      <c r="E494" s="56">
        <v>280</v>
      </c>
      <c r="F494" s="56">
        <v>0</v>
      </c>
      <c r="G494" s="56">
        <f t="shared" si="16"/>
        <v>0</v>
      </c>
      <c r="H494" s="57">
        <v>100</v>
      </c>
      <c r="I494" s="14"/>
      <c r="J494" s="23" t="s">
        <v>343</v>
      </c>
      <c r="K494" s="14"/>
    </row>
    <row r="495" spans="1:11" ht="17.25" customHeight="1" x14ac:dyDescent="0.25">
      <c r="A495" s="10"/>
      <c r="B495" s="61" t="s">
        <v>22</v>
      </c>
      <c r="C495" s="77"/>
      <c r="D495" s="77"/>
      <c r="E495" s="74">
        <v>280</v>
      </c>
      <c r="F495" s="74">
        <v>0</v>
      </c>
      <c r="G495" s="74">
        <f t="shared" si="16"/>
        <v>0</v>
      </c>
      <c r="H495" s="57"/>
      <c r="I495" s="14"/>
      <c r="J495" s="14"/>
      <c r="K495" s="14"/>
    </row>
    <row r="496" spans="1:11" ht="84" customHeight="1" x14ac:dyDescent="0.25">
      <c r="A496" s="10">
        <v>164</v>
      </c>
      <c r="B496" s="55" t="s">
        <v>259</v>
      </c>
      <c r="C496" s="62" t="s">
        <v>206</v>
      </c>
      <c r="D496" s="17" t="s">
        <v>16</v>
      </c>
      <c r="E496" s="56">
        <v>530</v>
      </c>
      <c r="F496" s="56">
        <v>0</v>
      </c>
      <c r="G496" s="56">
        <f t="shared" si="16"/>
        <v>0</v>
      </c>
      <c r="H496" s="57">
        <v>100</v>
      </c>
      <c r="I496" s="14"/>
      <c r="J496" s="23" t="s">
        <v>343</v>
      </c>
      <c r="K496" s="14"/>
    </row>
    <row r="497" spans="1:11" ht="17.25" customHeight="1" x14ac:dyDescent="0.25">
      <c r="A497" s="10"/>
      <c r="B497" s="61" t="s">
        <v>22</v>
      </c>
      <c r="C497" s="77"/>
      <c r="D497" s="77"/>
      <c r="E497" s="74">
        <v>530</v>
      </c>
      <c r="F497" s="74">
        <v>0</v>
      </c>
      <c r="G497" s="74">
        <f t="shared" si="16"/>
        <v>0</v>
      </c>
      <c r="H497" s="57"/>
      <c r="I497" s="14"/>
      <c r="J497" s="14"/>
      <c r="K497" s="14"/>
    </row>
    <row r="498" spans="1:11" ht="66" customHeight="1" x14ac:dyDescent="0.25">
      <c r="A498" s="10">
        <v>165</v>
      </c>
      <c r="B498" s="55" t="s">
        <v>260</v>
      </c>
      <c r="C498" s="62" t="s">
        <v>206</v>
      </c>
      <c r="D498" s="17" t="s">
        <v>16</v>
      </c>
      <c r="E498" s="56">
        <v>1800</v>
      </c>
      <c r="F498" s="56">
        <v>5727.63</v>
      </c>
      <c r="G498" s="56">
        <f t="shared" si="16"/>
        <v>318.20166666666665</v>
      </c>
      <c r="H498" s="57">
        <v>100</v>
      </c>
      <c r="I498" s="14"/>
      <c r="J498" s="23" t="s">
        <v>343</v>
      </c>
      <c r="K498" s="14"/>
    </row>
    <row r="499" spans="1:11" ht="17.25" customHeight="1" x14ac:dyDescent="0.25">
      <c r="A499" s="10"/>
      <c r="B499" s="61" t="s">
        <v>22</v>
      </c>
      <c r="C499" s="77"/>
      <c r="D499" s="77"/>
      <c r="E499" s="74">
        <v>1800</v>
      </c>
      <c r="F499" s="74">
        <v>5727.63</v>
      </c>
      <c r="G499" s="74">
        <f t="shared" si="16"/>
        <v>318.20166666666665</v>
      </c>
      <c r="H499" s="57"/>
      <c r="I499" s="14"/>
      <c r="J499" s="14"/>
      <c r="K499" s="14"/>
    </row>
    <row r="500" spans="1:11" ht="65.25" customHeight="1" x14ac:dyDescent="0.25">
      <c r="A500" s="10">
        <v>166</v>
      </c>
      <c r="B500" s="55" t="s">
        <v>261</v>
      </c>
      <c r="C500" s="62" t="s">
        <v>206</v>
      </c>
      <c r="D500" s="17" t="s">
        <v>16</v>
      </c>
      <c r="E500" s="56">
        <v>700</v>
      </c>
      <c r="F500" s="56">
        <v>0</v>
      </c>
      <c r="G500" s="56">
        <f t="shared" si="16"/>
        <v>0</v>
      </c>
      <c r="H500" s="57">
        <v>100</v>
      </c>
      <c r="I500" s="14"/>
      <c r="J500" s="23" t="s">
        <v>343</v>
      </c>
      <c r="K500" s="14"/>
    </row>
    <row r="501" spans="1:11" ht="17.25" customHeight="1" x14ac:dyDescent="0.25">
      <c r="A501" s="10"/>
      <c r="B501" s="61" t="s">
        <v>22</v>
      </c>
      <c r="C501" s="77"/>
      <c r="D501" s="77"/>
      <c r="E501" s="74">
        <v>700</v>
      </c>
      <c r="F501" s="74">
        <v>0</v>
      </c>
      <c r="G501" s="74">
        <f t="shared" si="16"/>
        <v>0</v>
      </c>
      <c r="H501" s="57"/>
      <c r="I501" s="14"/>
      <c r="J501" s="14"/>
      <c r="K501" s="14"/>
    </row>
    <row r="502" spans="1:11" ht="83.25" customHeight="1" x14ac:dyDescent="0.25">
      <c r="A502" s="10">
        <v>167</v>
      </c>
      <c r="B502" s="55" t="s">
        <v>420</v>
      </c>
      <c r="C502" s="62" t="s">
        <v>206</v>
      </c>
      <c r="D502" s="17" t="s">
        <v>16</v>
      </c>
      <c r="E502" s="56">
        <v>200</v>
      </c>
      <c r="F502" s="56">
        <v>0</v>
      </c>
      <c r="G502" s="56">
        <v>0</v>
      </c>
      <c r="H502" s="57">
        <v>100</v>
      </c>
      <c r="I502" s="14"/>
      <c r="J502" s="23" t="s">
        <v>343</v>
      </c>
      <c r="K502" s="14"/>
    </row>
    <row r="503" spans="1:11" ht="17.25" customHeight="1" x14ac:dyDescent="0.25">
      <c r="A503" s="10"/>
      <c r="B503" s="61" t="s">
        <v>22</v>
      </c>
      <c r="C503" s="77"/>
      <c r="D503" s="77"/>
      <c r="E503" s="74">
        <v>200</v>
      </c>
      <c r="F503" s="74">
        <v>0</v>
      </c>
      <c r="G503" s="74">
        <f t="shared" si="16"/>
        <v>0</v>
      </c>
      <c r="H503" s="57"/>
      <c r="I503" s="14"/>
      <c r="J503" s="14"/>
      <c r="K503" s="14"/>
    </row>
    <row r="504" spans="1:11" ht="69" customHeight="1" x14ac:dyDescent="0.25">
      <c r="A504" s="10">
        <v>168</v>
      </c>
      <c r="B504" s="55" t="s">
        <v>262</v>
      </c>
      <c r="C504" s="62" t="s">
        <v>208</v>
      </c>
      <c r="D504" s="17" t="s">
        <v>16</v>
      </c>
      <c r="E504" s="56">
        <v>20000</v>
      </c>
      <c r="F504" s="56">
        <v>0</v>
      </c>
      <c r="G504" s="56">
        <v>0</v>
      </c>
      <c r="H504" s="57">
        <v>100</v>
      </c>
      <c r="I504" s="14"/>
      <c r="J504" s="14"/>
      <c r="K504" s="23" t="s">
        <v>421</v>
      </c>
    </row>
    <row r="505" spans="1:11" ht="17.25" customHeight="1" x14ac:dyDescent="0.25">
      <c r="A505" s="10"/>
      <c r="B505" s="61" t="s">
        <v>22</v>
      </c>
      <c r="C505" s="62"/>
      <c r="D505" s="17"/>
      <c r="E505" s="74">
        <v>20000</v>
      </c>
      <c r="F505" s="74">
        <v>0</v>
      </c>
      <c r="G505" s="74">
        <v>0</v>
      </c>
      <c r="H505" s="66"/>
      <c r="I505" s="14"/>
      <c r="J505" s="14"/>
      <c r="K505" s="14"/>
    </row>
    <row r="506" spans="1:11" ht="17.25" customHeight="1" x14ac:dyDescent="0.25">
      <c r="A506" s="10"/>
      <c r="B506" s="28" t="s">
        <v>54</v>
      </c>
      <c r="C506" s="62"/>
      <c r="D506" s="17"/>
      <c r="E506" s="78">
        <f>E507+E508+E509</f>
        <v>276767</v>
      </c>
      <c r="F506" s="78">
        <f>F507+F508+F509</f>
        <v>350700.16</v>
      </c>
      <c r="G506" s="78">
        <f t="shared" ref="G506:G511" si="17">F506/E506*100</f>
        <v>126.71314137884934</v>
      </c>
      <c r="H506" s="57"/>
      <c r="I506" s="14"/>
      <c r="J506" s="14"/>
      <c r="K506" s="14"/>
    </row>
    <row r="507" spans="1:11" ht="17.25" customHeight="1" x14ac:dyDescent="0.25">
      <c r="A507" s="10"/>
      <c r="B507" s="24" t="s">
        <v>13</v>
      </c>
      <c r="C507" s="62"/>
      <c r="D507" s="17"/>
      <c r="E507" s="80">
        <f>E365+E371+E434+E442+E444+E447+E449</f>
        <v>25657</v>
      </c>
      <c r="F507" s="80">
        <f>F365+F371+F434+F442+F444+F447+F449+F388</f>
        <v>23893.19</v>
      </c>
      <c r="G507" s="74">
        <f t="shared" si="17"/>
        <v>93.125423860934632</v>
      </c>
      <c r="H507" s="57"/>
      <c r="I507" s="14"/>
      <c r="J507" s="14"/>
      <c r="K507" s="14"/>
    </row>
    <row r="508" spans="1:11" ht="17.25" customHeight="1" x14ac:dyDescent="0.25">
      <c r="A508" s="10"/>
      <c r="B508" s="61" t="s">
        <v>22</v>
      </c>
      <c r="C508" s="62"/>
      <c r="D508" s="17"/>
      <c r="E508" s="80">
        <f>E474+E482+E495+E497+E499+E501+E503+E505</f>
        <v>56010</v>
      </c>
      <c r="F508" s="80">
        <f>F474+F482+F495+F497+F499+F501+F503+F505</f>
        <v>12627.630000000001</v>
      </c>
      <c r="G508" s="74">
        <f t="shared" si="17"/>
        <v>22.545313336904126</v>
      </c>
      <c r="H508" s="57"/>
      <c r="I508" s="14"/>
      <c r="J508" s="14"/>
      <c r="K508" s="14"/>
    </row>
    <row r="509" spans="1:11" ht="18.75" customHeight="1" x14ac:dyDescent="0.25">
      <c r="A509" s="10"/>
      <c r="B509" s="61" t="s">
        <v>19</v>
      </c>
      <c r="C509" s="62"/>
      <c r="D509" s="17"/>
      <c r="E509" s="80">
        <f>E336+E342+E348+E354+E359+E372+E384+E392+E398+E403+E408+E413+E418+E422+E424+E429+E436+E438+E440+E445+E451+E453+E455+E457+E459+E461+E463+E465+E467+E469+E471+E473+E476+E478+E480+E483+E491+E493+E420</f>
        <v>195100</v>
      </c>
      <c r="F509" s="80">
        <f>F336+F342+F348+F354+F359+F372+F384+F392+F398+F403+F408+F413+F418+F422+F424+F429+F436+F438+F440+F445+F451+F453+F455+F457+F459+F461+F463+F465+F467+F469+F471+F473+F476+F478+F480+F483+F491+F493+F420</f>
        <v>314179.33999999997</v>
      </c>
      <c r="G509" s="74">
        <f t="shared" si="17"/>
        <v>161.03502819067143</v>
      </c>
      <c r="H509" s="57"/>
      <c r="I509" s="14"/>
      <c r="J509" s="14"/>
      <c r="K509" s="14"/>
    </row>
    <row r="510" spans="1:11" ht="17.25" customHeight="1" x14ac:dyDescent="0.25">
      <c r="A510" s="10"/>
      <c r="B510" s="31" t="s">
        <v>73</v>
      </c>
      <c r="C510" s="62"/>
      <c r="D510" s="17"/>
      <c r="E510" s="337">
        <f>E511+E512+E513+E514</f>
        <v>4227979.8</v>
      </c>
      <c r="F510" s="337">
        <f>F511+F512+F513+F514</f>
        <v>5014881.82</v>
      </c>
      <c r="G510" s="78">
        <f t="shared" si="17"/>
        <v>118.61177340535072</v>
      </c>
      <c r="H510" s="57"/>
      <c r="I510" s="14"/>
      <c r="J510" s="14"/>
      <c r="K510" s="14"/>
    </row>
    <row r="511" spans="1:11" ht="17.25" customHeight="1" x14ac:dyDescent="0.25">
      <c r="A511" s="10"/>
      <c r="B511" s="32" t="s">
        <v>13</v>
      </c>
      <c r="C511" s="62"/>
      <c r="D511" s="17"/>
      <c r="E511" s="80">
        <f>E331+E507</f>
        <v>3513089.8</v>
      </c>
      <c r="F511" s="80">
        <f>F331+F507</f>
        <v>3211703.75</v>
      </c>
      <c r="G511" s="74">
        <f t="shared" si="17"/>
        <v>91.421054764953638</v>
      </c>
      <c r="H511" s="57"/>
      <c r="I511" s="14"/>
      <c r="J511" s="14"/>
      <c r="K511" s="14"/>
    </row>
    <row r="512" spans="1:11" ht="17.25" customHeight="1" x14ac:dyDescent="0.25">
      <c r="A512" s="10"/>
      <c r="B512" s="79" t="s">
        <v>22</v>
      </c>
      <c r="C512" s="62"/>
      <c r="D512" s="17"/>
      <c r="E512" s="80">
        <f>E332+E508</f>
        <v>462790</v>
      </c>
      <c r="F512" s="80">
        <f>F332+F508</f>
        <v>276468.47999999998</v>
      </c>
      <c r="G512" s="74">
        <f>F512/E512*100</f>
        <v>59.739510361070892</v>
      </c>
      <c r="H512" s="57"/>
      <c r="I512" s="14"/>
      <c r="J512" s="14"/>
      <c r="K512" s="14"/>
    </row>
    <row r="513" spans="1:11" ht="20.25" customHeight="1" x14ac:dyDescent="0.25">
      <c r="A513" s="10"/>
      <c r="B513" s="32" t="s">
        <v>53</v>
      </c>
      <c r="C513" s="62"/>
      <c r="D513" s="17"/>
      <c r="E513" s="80">
        <f>E509</f>
        <v>195100</v>
      </c>
      <c r="F513" s="80">
        <f>F509</f>
        <v>314179.33999999997</v>
      </c>
      <c r="G513" s="74">
        <f>F513/E513*100</f>
        <v>161.03502819067143</v>
      </c>
      <c r="H513" s="57"/>
      <c r="I513" s="14"/>
      <c r="J513" s="14"/>
      <c r="K513" s="14"/>
    </row>
    <row r="514" spans="1:11" ht="33" customHeight="1" x14ac:dyDescent="0.25">
      <c r="A514" s="10"/>
      <c r="B514" s="79" t="s">
        <v>139</v>
      </c>
      <c r="C514" s="1"/>
      <c r="D514" s="1"/>
      <c r="E514" s="281">
        <f>E333</f>
        <v>57000</v>
      </c>
      <c r="F514" s="281">
        <f>F333</f>
        <v>1212530.25</v>
      </c>
      <c r="G514" s="56">
        <f>F514/E514*100</f>
        <v>2127.246052631579</v>
      </c>
      <c r="H514" s="57"/>
      <c r="I514" s="14"/>
      <c r="J514" s="14"/>
      <c r="K514" s="14"/>
    </row>
    <row r="515" spans="1:11" ht="17.25" customHeight="1" x14ac:dyDescent="0.25">
      <c r="A515" s="10"/>
      <c r="B515" s="55"/>
      <c r="C515" s="1"/>
      <c r="D515" s="1"/>
      <c r="E515" s="56"/>
      <c r="F515" s="56"/>
      <c r="G515" s="56"/>
      <c r="H515" s="57"/>
      <c r="I515" s="14"/>
      <c r="J515" s="14"/>
      <c r="K515" s="14"/>
    </row>
    <row r="516" spans="1:11" ht="17.25" customHeight="1" x14ac:dyDescent="0.25">
      <c r="A516" s="542" t="s">
        <v>422</v>
      </c>
      <c r="B516" s="542"/>
      <c r="C516" s="542"/>
      <c r="D516" s="542"/>
      <c r="E516" s="542"/>
      <c r="F516" s="542"/>
      <c r="G516" s="542"/>
      <c r="H516" s="542"/>
      <c r="I516" s="542"/>
      <c r="J516" s="542"/>
      <c r="K516" s="542"/>
    </row>
    <row r="517" spans="1:11" ht="17.25" customHeight="1" x14ac:dyDescent="0.25">
      <c r="A517" s="541" t="s">
        <v>74</v>
      </c>
      <c r="B517" s="541"/>
      <c r="C517" s="541"/>
      <c r="D517" s="541"/>
      <c r="E517" s="541"/>
      <c r="F517" s="541"/>
      <c r="G517" s="541"/>
      <c r="H517" s="541"/>
      <c r="I517" s="541"/>
      <c r="J517" s="541"/>
      <c r="K517" s="541"/>
    </row>
    <row r="518" spans="1:11" s="38" customFormat="1" ht="79.5" customHeight="1" x14ac:dyDescent="0.25">
      <c r="A518" s="10">
        <v>169</v>
      </c>
      <c r="B518" s="64" t="s">
        <v>75</v>
      </c>
      <c r="C518" s="19" t="s">
        <v>14</v>
      </c>
      <c r="D518" s="17" t="s">
        <v>16</v>
      </c>
      <c r="E518" s="81">
        <v>105000</v>
      </c>
      <c r="F518" s="81">
        <v>104994</v>
      </c>
      <c r="G518" s="81">
        <f>F518/E518*100</f>
        <v>99.994285714285709</v>
      </c>
      <c r="H518" s="21">
        <v>100</v>
      </c>
      <c r="I518" s="82"/>
      <c r="J518" s="23" t="s">
        <v>330</v>
      </c>
      <c r="K518" s="81">
        <f>E519+E521+E523+E534+E536+E538+E566+E568+E570+E572</f>
        <v>225500</v>
      </c>
    </row>
    <row r="519" spans="1:11" s="38" customFormat="1" ht="21.75" customHeight="1" x14ac:dyDescent="0.25">
      <c r="A519" s="10"/>
      <c r="B519" s="83" t="s">
        <v>423</v>
      </c>
      <c r="C519" s="19"/>
      <c r="D519" s="19"/>
      <c r="E519" s="81">
        <v>105000</v>
      </c>
      <c r="F519" s="81">
        <v>104994</v>
      </c>
      <c r="G519" s="81">
        <f>F519/E519*100</f>
        <v>99.994285714285709</v>
      </c>
      <c r="H519" s="21"/>
      <c r="I519" s="82"/>
      <c r="J519" s="23"/>
      <c r="K519" s="19"/>
    </row>
    <row r="520" spans="1:11" s="38" customFormat="1" ht="84" customHeight="1" x14ac:dyDescent="0.25">
      <c r="A520" s="10">
        <v>170</v>
      </c>
      <c r="B520" s="64" t="s">
        <v>76</v>
      </c>
      <c r="C520" s="19" t="s">
        <v>14</v>
      </c>
      <c r="D520" s="17" t="s">
        <v>16</v>
      </c>
      <c r="E520" s="81">
        <v>23600</v>
      </c>
      <c r="F520" s="81">
        <v>23536.34</v>
      </c>
      <c r="G520" s="81">
        <f>F520/E520*100</f>
        <v>99.730254237288136</v>
      </c>
      <c r="H520" s="21">
        <v>100</v>
      </c>
      <c r="I520" s="82"/>
      <c r="J520" s="23" t="s">
        <v>330</v>
      </c>
      <c r="K520" s="19"/>
    </row>
    <row r="521" spans="1:11" s="38" customFormat="1" ht="17.25" customHeight="1" x14ac:dyDescent="0.25">
      <c r="A521" s="10"/>
      <c r="B521" s="83" t="s">
        <v>423</v>
      </c>
      <c r="C521" s="19"/>
      <c r="D521" s="19"/>
      <c r="E521" s="81">
        <v>23600</v>
      </c>
      <c r="F521" s="81">
        <v>23536.34</v>
      </c>
      <c r="G521" s="81">
        <f>F521/E521*100</f>
        <v>99.730254237288136</v>
      </c>
      <c r="H521" s="21"/>
      <c r="I521" s="82"/>
      <c r="J521" s="23"/>
      <c r="K521" s="53"/>
    </row>
    <row r="522" spans="1:11" s="38" customFormat="1" ht="130.5" customHeight="1" x14ac:dyDescent="0.25">
      <c r="A522" s="10">
        <v>171</v>
      </c>
      <c r="B522" s="64" t="s">
        <v>77</v>
      </c>
      <c r="C522" s="19" t="s">
        <v>14</v>
      </c>
      <c r="D522" s="17" t="s">
        <v>16</v>
      </c>
      <c r="E522" s="81">
        <v>19300</v>
      </c>
      <c r="F522" s="81">
        <v>19260</v>
      </c>
      <c r="G522" s="81">
        <f t="shared" ref="G522:G529" si="18">F522/E522*100</f>
        <v>99.792746113989637</v>
      </c>
      <c r="H522" s="21">
        <v>100</v>
      </c>
      <c r="I522" s="82"/>
      <c r="J522" s="23" t="s">
        <v>330</v>
      </c>
      <c r="K522" s="19"/>
    </row>
    <row r="523" spans="1:11" s="38" customFormat="1" ht="17.25" customHeight="1" x14ac:dyDescent="0.25">
      <c r="A523" s="10"/>
      <c r="B523" s="83" t="s">
        <v>423</v>
      </c>
      <c r="C523" s="19"/>
      <c r="D523" s="19"/>
      <c r="E523" s="81">
        <v>19300</v>
      </c>
      <c r="F523" s="81">
        <v>19260</v>
      </c>
      <c r="G523" s="81">
        <f t="shared" si="18"/>
        <v>99.792746113989637</v>
      </c>
      <c r="H523" s="21"/>
      <c r="I523" s="82"/>
      <c r="J523" s="82"/>
      <c r="K523" s="19"/>
    </row>
    <row r="524" spans="1:11" s="38" customFormat="1" ht="120.75" customHeight="1" x14ac:dyDescent="0.25">
      <c r="A524" s="10">
        <v>172</v>
      </c>
      <c r="B524" s="64" t="s">
        <v>78</v>
      </c>
      <c r="C524" s="19" t="s">
        <v>50</v>
      </c>
      <c r="D524" s="17" t="s">
        <v>16</v>
      </c>
      <c r="E524" s="81">
        <f>E525+E526</f>
        <v>7200</v>
      </c>
      <c r="F524" s="81">
        <f>F525+F526</f>
        <v>7200</v>
      </c>
      <c r="G524" s="81">
        <f>F524/E524*100</f>
        <v>100</v>
      </c>
      <c r="H524" s="21">
        <v>100</v>
      </c>
      <c r="I524" s="82"/>
      <c r="J524" s="23" t="s">
        <v>330</v>
      </c>
      <c r="K524" s="19"/>
    </row>
    <row r="525" spans="1:11" ht="17.25" customHeight="1" x14ac:dyDescent="0.25">
      <c r="A525" s="10"/>
      <c r="B525" s="83" t="s">
        <v>423</v>
      </c>
      <c r="C525" s="19"/>
      <c r="D525" s="19"/>
      <c r="E525" s="81">
        <v>4700</v>
      </c>
      <c r="F525" s="81">
        <v>4700</v>
      </c>
      <c r="G525" s="81">
        <f t="shared" si="18"/>
        <v>100</v>
      </c>
      <c r="H525" s="21"/>
      <c r="I525" s="82"/>
      <c r="J525" s="526">
        <f>F525+F577+F594+F597+F600+F603+F605+F608+F615+F617+F619+F621+F623+F625+F663+F630</f>
        <v>84288.6</v>
      </c>
      <c r="K525" s="19"/>
    </row>
    <row r="526" spans="1:11" ht="39.75" customHeight="1" x14ac:dyDescent="0.25">
      <c r="A526" s="10"/>
      <c r="B526" s="83" t="s">
        <v>424</v>
      </c>
      <c r="C526" s="19"/>
      <c r="D526" s="19"/>
      <c r="E526" s="81">
        <v>2500</v>
      </c>
      <c r="F526" s="81">
        <v>2500</v>
      </c>
      <c r="G526" s="81">
        <f t="shared" si="18"/>
        <v>100</v>
      </c>
      <c r="H526" s="21"/>
      <c r="I526" s="82"/>
      <c r="J526" s="23"/>
      <c r="K526" s="19"/>
    </row>
    <row r="527" spans="1:11" s="38" customFormat="1" ht="17.25" customHeight="1" x14ac:dyDescent="0.25">
      <c r="A527" s="10"/>
      <c r="B527" s="84" t="s">
        <v>54</v>
      </c>
      <c r="C527" s="19"/>
      <c r="D527" s="19"/>
      <c r="E527" s="85">
        <f>E528+E529</f>
        <v>155100</v>
      </c>
      <c r="F527" s="85">
        <f t="shared" ref="F527" si="19">F528+F529</f>
        <v>154990.34</v>
      </c>
      <c r="G527" s="85">
        <f t="shared" si="18"/>
        <v>99.9292972275951</v>
      </c>
      <c r="H527" s="21"/>
      <c r="I527" s="82"/>
      <c r="J527" s="23"/>
      <c r="K527" s="19"/>
    </row>
    <row r="528" spans="1:11" s="38" customFormat="1" ht="17.25" customHeight="1" x14ac:dyDescent="0.25">
      <c r="A528" s="10"/>
      <c r="B528" s="83" t="s">
        <v>423</v>
      </c>
      <c r="C528" s="19"/>
      <c r="D528" s="19"/>
      <c r="E528" s="81">
        <f>E519+E521+E523+E525</f>
        <v>152600</v>
      </c>
      <c r="F528" s="81">
        <f>F519+F521+F523+F525</f>
        <v>152490.34</v>
      </c>
      <c r="G528" s="81">
        <f t="shared" si="18"/>
        <v>99.928138925294888</v>
      </c>
      <c r="H528" s="21"/>
      <c r="I528" s="82"/>
      <c r="J528" s="23"/>
      <c r="K528" s="19"/>
    </row>
    <row r="529" spans="1:11" s="38" customFormat="1" ht="35.25" customHeight="1" x14ac:dyDescent="0.25">
      <c r="A529" s="10"/>
      <c r="B529" s="83" t="s">
        <v>424</v>
      </c>
      <c r="C529" s="19"/>
      <c r="D529" s="19"/>
      <c r="E529" s="81">
        <f>E526</f>
        <v>2500</v>
      </c>
      <c r="F529" s="81">
        <f>F526</f>
        <v>2500</v>
      </c>
      <c r="G529" s="81">
        <f t="shared" si="18"/>
        <v>100</v>
      </c>
      <c r="H529" s="21"/>
      <c r="I529" s="82"/>
      <c r="J529" s="82"/>
      <c r="K529" s="19"/>
    </row>
    <row r="530" spans="1:11" ht="17.25" customHeight="1" x14ac:dyDescent="0.25">
      <c r="A530" s="10"/>
      <c r="B530" s="541" t="s">
        <v>79</v>
      </c>
      <c r="C530" s="541"/>
      <c r="D530" s="541"/>
      <c r="E530" s="541"/>
      <c r="F530" s="541"/>
      <c r="G530" s="541"/>
      <c r="H530" s="541"/>
      <c r="I530" s="541"/>
      <c r="J530" s="541"/>
      <c r="K530" s="541"/>
    </row>
    <row r="531" spans="1:11" s="38" customFormat="1" ht="122.25" customHeight="1" x14ac:dyDescent="0.25">
      <c r="A531" s="10">
        <v>173</v>
      </c>
      <c r="B531" s="64" t="s">
        <v>80</v>
      </c>
      <c r="C531" s="19" t="s">
        <v>14</v>
      </c>
      <c r="D531" s="17" t="s">
        <v>16</v>
      </c>
      <c r="E531" s="81">
        <v>72200</v>
      </c>
      <c r="F531" s="81">
        <v>72115.100000000006</v>
      </c>
      <c r="G531" s="81">
        <f t="shared" ref="G531:G542" si="20">F531/E531*100</f>
        <v>99.882409972299186</v>
      </c>
      <c r="H531" s="21">
        <v>100</v>
      </c>
      <c r="I531" s="82"/>
      <c r="J531" s="23" t="s">
        <v>330</v>
      </c>
      <c r="K531" s="53"/>
    </row>
    <row r="532" spans="1:11" s="38" customFormat="1" ht="17.25" customHeight="1" x14ac:dyDescent="0.25">
      <c r="A532" s="10"/>
      <c r="B532" s="83" t="s">
        <v>423</v>
      </c>
      <c r="C532" s="19"/>
      <c r="D532" s="19"/>
      <c r="E532" s="81">
        <v>72200</v>
      </c>
      <c r="F532" s="81">
        <v>72115.100000000006</v>
      </c>
      <c r="G532" s="81">
        <f t="shared" si="20"/>
        <v>99.882409972299186</v>
      </c>
      <c r="H532" s="21"/>
      <c r="I532" s="86"/>
      <c r="J532" s="23"/>
      <c r="K532" s="53"/>
    </row>
    <row r="533" spans="1:11" s="38" customFormat="1" ht="109.5" customHeight="1" x14ac:dyDescent="0.25">
      <c r="A533" s="10">
        <v>174</v>
      </c>
      <c r="B533" s="64" t="s">
        <v>80</v>
      </c>
      <c r="C533" s="19" t="s">
        <v>14</v>
      </c>
      <c r="D533" s="17" t="s">
        <v>16</v>
      </c>
      <c r="E533" s="81">
        <v>15000</v>
      </c>
      <c r="F533" s="81">
        <v>14986.22</v>
      </c>
      <c r="G533" s="81">
        <f t="shared" si="20"/>
        <v>99.908133333333325</v>
      </c>
      <c r="H533" s="21">
        <v>100</v>
      </c>
      <c r="I533" s="82"/>
      <c r="J533" s="23" t="s">
        <v>330</v>
      </c>
      <c r="K533" s="53"/>
    </row>
    <row r="534" spans="1:11" s="38" customFormat="1" ht="17.25" customHeight="1" x14ac:dyDescent="0.25">
      <c r="A534" s="10"/>
      <c r="B534" s="83" t="s">
        <v>423</v>
      </c>
      <c r="C534" s="19"/>
      <c r="D534" s="19"/>
      <c r="E534" s="81">
        <v>15000</v>
      </c>
      <c r="F534" s="81">
        <v>14986.22</v>
      </c>
      <c r="G534" s="81">
        <f t="shared" si="20"/>
        <v>99.908133333333325</v>
      </c>
      <c r="H534" s="21"/>
      <c r="I534" s="86"/>
      <c r="J534" s="23"/>
      <c r="K534" s="53"/>
    </row>
    <row r="535" spans="1:11" s="38" customFormat="1" ht="65.25" customHeight="1" x14ac:dyDescent="0.25">
      <c r="A535" s="10">
        <v>175</v>
      </c>
      <c r="B535" s="64" t="s">
        <v>81</v>
      </c>
      <c r="C535" s="19" t="s">
        <v>14</v>
      </c>
      <c r="D535" s="17" t="s">
        <v>16</v>
      </c>
      <c r="E535" s="87">
        <v>10100</v>
      </c>
      <c r="F535" s="87">
        <v>9430.35</v>
      </c>
      <c r="G535" s="81">
        <f t="shared" si="20"/>
        <v>93.369801980198019</v>
      </c>
      <c r="H535" s="88">
        <v>100</v>
      </c>
      <c r="I535" s="82"/>
      <c r="J535" s="23" t="s">
        <v>330</v>
      </c>
      <c r="K535" s="53"/>
    </row>
    <row r="536" spans="1:11" s="38" customFormat="1" ht="17.25" customHeight="1" x14ac:dyDescent="0.25">
      <c r="A536" s="10"/>
      <c r="B536" s="83" t="s">
        <v>423</v>
      </c>
      <c r="C536" s="19"/>
      <c r="D536" s="89"/>
      <c r="E536" s="87">
        <v>10100</v>
      </c>
      <c r="F536" s="87">
        <v>9430.35</v>
      </c>
      <c r="G536" s="81">
        <f t="shared" si="20"/>
        <v>93.369801980198019</v>
      </c>
      <c r="H536" s="88"/>
      <c r="I536" s="86"/>
      <c r="J536" s="23"/>
      <c r="K536" s="53"/>
    </row>
    <row r="537" spans="1:11" s="38" customFormat="1" ht="88.5" customHeight="1" x14ac:dyDescent="0.25">
      <c r="A537" s="10">
        <v>176</v>
      </c>
      <c r="B537" s="90" t="s">
        <v>82</v>
      </c>
      <c r="C537" s="19" t="s">
        <v>14</v>
      </c>
      <c r="D537" s="17" t="s">
        <v>16</v>
      </c>
      <c r="E537" s="91">
        <v>7500</v>
      </c>
      <c r="F537" s="91">
        <v>7500</v>
      </c>
      <c r="G537" s="81">
        <f t="shared" si="20"/>
        <v>100</v>
      </c>
      <c r="H537" s="92">
        <v>100</v>
      </c>
      <c r="I537" s="93"/>
      <c r="J537" s="23" t="s">
        <v>330</v>
      </c>
      <c r="K537" s="53"/>
    </row>
    <row r="538" spans="1:11" s="38" customFormat="1" ht="17.25" customHeight="1" x14ac:dyDescent="0.25">
      <c r="A538" s="10"/>
      <c r="B538" s="83" t="s">
        <v>423</v>
      </c>
      <c r="C538" s="19"/>
      <c r="D538" s="94"/>
      <c r="E538" s="91">
        <v>7500</v>
      </c>
      <c r="F538" s="91">
        <v>7500</v>
      </c>
      <c r="G538" s="81">
        <f t="shared" si="20"/>
        <v>100</v>
      </c>
      <c r="H538" s="92"/>
      <c r="I538" s="93"/>
      <c r="J538" s="93"/>
      <c r="K538" s="53"/>
    </row>
    <row r="539" spans="1:11" s="38" customFormat="1" ht="105" customHeight="1" x14ac:dyDescent="0.25">
      <c r="A539" s="10">
        <v>177</v>
      </c>
      <c r="B539" s="90" t="s">
        <v>83</v>
      </c>
      <c r="C539" s="19" t="s">
        <v>14</v>
      </c>
      <c r="D539" s="17" t="s">
        <v>16</v>
      </c>
      <c r="E539" s="95">
        <v>241900</v>
      </c>
      <c r="F539" s="95">
        <v>88373.57</v>
      </c>
      <c r="G539" s="81">
        <f t="shared" si="20"/>
        <v>36.533100454733365</v>
      </c>
      <c r="H539" s="96">
        <v>100</v>
      </c>
      <c r="I539" s="17" t="s">
        <v>337</v>
      </c>
      <c r="J539" s="23" t="s">
        <v>330</v>
      </c>
      <c r="K539" s="53"/>
    </row>
    <row r="540" spans="1:11" s="38" customFormat="1" ht="17.25" customHeight="1" x14ac:dyDescent="0.25">
      <c r="A540" s="10"/>
      <c r="B540" s="83" t="s">
        <v>423</v>
      </c>
      <c r="C540" s="19"/>
      <c r="D540" s="19"/>
      <c r="E540" s="95">
        <v>241900</v>
      </c>
      <c r="F540" s="95">
        <v>88373.57</v>
      </c>
      <c r="G540" s="81">
        <f t="shared" si="20"/>
        <v>36.533100454733365</v>
      </c>
      <c r="H540" s="96"/>
      <c r="I540" s="97"/>
      <c r="J540" s="98"/>
      <c r="K540" s="53"/>
    </row>
    <row r="541" spans="1:11" s="38" customFormat="1" ht="17.25" customHeight="1" x14ac:dyDescent="0.25">
      <c r="A541" s="10"/>
      <c r="B541" s="84" t="s">
        <v>54</v>
      </c>
      <c r="C541" s="19"/>
      <c r="D541" s="19"/>
      <c r="E541" s="85">
        <f>E539+E537+E535+E533+E531</f>
        <v>346700</v>
      </c>
      <c r="F541" s="85">
        <f>F539+F537+F535+F533+F531</f>
        <v>192405.24000000002</v>
      </c>
      <c r="G541" s="85">
        <f t="shared" si="20"/>
        <v>55.496175367753111</v>
      </c>
      <c r="H541" s="99"/>
      <c r="I541" s="100"/>
      <c r="J541" s="100"/>
      <c r="K541" s="53"/>
    </row>
    <row r="542" spans="1:11" s="38" customFormat="1" ht="17.25" customHeight="1" x14ac:dyDescent="0.25">
      <c r="A542" s="10"/>
      <c r="B542" s="83" t="s">
        <v>423</v>
      </c>
      <c r="C542" s="19"/>
      <c r="D542" s="19"/>
      <c r="E542" s="81">
        <f>E540+E538+E536+E534+E532</f>
        <v>346700</v>
      </c>
      <c r="F542" s="81">
        <f>F540+F538+F536+F534+F532</f>
        <v>192405.24000000002</v>
      </c>
      <c r="G542" s="81">
        <f t="shared" si="20"/>
        <v>55.496175367753111</v>
      </c>
      <c r="H542" s="99"/>
      <c r="I542" s="100"/>
      <c r="J542" s="100"/>
      <c r="K542" s="53"/>
    </row>
    <row r="543" spans="1:11" ht="19.5" customHeight="1" x14ac:dyDescent="0.25">
      <c r="A543" s="541" t="s">
        <v>84</v>
      </c>
      <c r="B543" s="541"/>
      <c r="C543" s="541"/>
      <c r="D543" s="541"/>
      <c r="E543" s="541"/>
      <c r="F543" s="541"/>
      <c r="G543" s="541"/>
      <c r="H543" s="541"/>
      <c r="I543" s="541"/>
      <c r="J543" s="541"/>
      <c r="K543" s="541"/>
    </row>
    <row r="544" spans="1:11" s="38" customFormat="1" ht="82.5" customHeight="1" x14ac:dyDescent="0.25">
      <c r="A544" s="10">
        <v>178</v>
      </c>
      <c r="B544" s="64" t="s">
        <v>85</v>
      </c>
      <c r="C544" s="19" t="s">
        <v>14</v>
      </c>
      <c r="D544" s="17" t="s">
        <v>16</v>
      </c>
      <c r="E544" s="81">
        <v>5000</v>
      </c>
      <c r="F544" s="81">
        <v>5000</v>
      </c>
      <c r="G544" s="81">
        <f t="shared" ref="G544:G551" si="21">F544/E544*100</f>
        <v>100</v>
      </c>
      <c r="H544" s="96">
        <v>100</v>
      </c>
      <c r="I544" s="100"/>
      <c r="J544" s="23" t="s">
        <v>330</v>
      </c>
      <c r="K544" s="53"/>
    </row>
    <row r="545" spans="1:11" s="38" customFormat="1" ht="24.75" customHeight="1" x14ac:dyDescent="0.25">
      <c r="A545" s="10"/>
      <c r="B545" s="83" t="s">
        <v>423</v>
      </c>
      <c r="C545" s="19"/>
      <c r="D545" s="19"/>
      <c r="E545" s="81">
        <v>5000</v>
      </c>
      <c r="F545" s="81">
        <v>5000</v>
      </c>
      <c r="G545" s="81">
        <f t="shared" si="21"/>
        <v>100</v>
      </c>
      <c r="H545" s="96"/>
      <c r="I545" s="100"/>
      <c r="J545" s="23"/>
      <c r="K545" s="53"/>
    </row>
    <row r="546" spans="1:11" s="38" customFormat="1" ht="91.5" customHeight="1" x14ac:dyDescent="0.25">
      <c r="A546" s="10">
        <v>179</v>
      </c>
      <c r="B546" s="64" t="s">
        <v>86</v>
      </c>
      <c r="C546" s="19" t="s">
        <v>14</v>
      </c>
      <c r="D546" s="17" t="s">
        <v>16</v>
      </c>
      <c r="E546" s="81">
        <v>125362.2</v>
      </c>
      <c r="F546" s="81">
        <v>125362.2</v>
      </c>
      <c r="G546" s="81">
        <f t="shared" si="21"/>
        <v>100</v>
      </c>
      <c r="H546" s="96">
        <v>100</v>
      </c>
      <c r="I546" s="100"/>
      <c r="J546" s="23" t="s">
        <v>330</v>
      </c>
      <c r="K546" s="527">
        <f>E544+E547+E549+E555+E557+E646+E653+E655</f>
        <v>181662.2</v>
      </c>
    </row>
    <row r="547" spans="1:11" s="38" customFormat="1" ht="17.25" customHeight="1" x14ac:dyDescent="0.25">
      <c r="A547" s="10"/>
      <c r="B547" s="83" t="s">
        <v>423</v>
      </c>
      <c r="C547" s="19"/>
      <c r="D547" s="19"/>
      <c r="E547" s="81">
        <v>125362.2</v>
      </c>
      <c r="F547" s="81">
        <v>125362.2</v>
      </c>
      <c r="G547" s="81">
        <f t="shared" si="21"/>
        <v>100</v>
      </c>
      <c r="H547" s="96"/>
      <c r="I547" s="100"/>
      <c r="J547" s="23"/>
      <c r="K547" s="53"/>
    </row>
    <row r="548" spans="1:11" s="38" customFormat="1" ht="49.5" customHeight="1" x14ac:dyDescent="0.25">
      <c r="A548" s="10">
        <v>180</v>
      </c>
      <c r="B548" s="64" t="s">
        <v>87</v>
      </c>
      <c r="C548" s="19" t="s">
        <v>14</v>
      </c>
      <c r="D548" s="17" t="s">
        <v>16</v>
      </c>
      <c r="E548" s="81">
        <v>8600</v>
      </c>
      <c r="F548" s="81">
        <v>8600</v>
      </c>
      <c r="G548" s="81">
        <f t="shared" si="21"/>
        <v>100</v>
      </c>
      <c r="H548" s="96">
        <v>100</v>
      </c>
      <c r="I548" s="100"/>
      <c r="J548" s="23" t="s">
        <v>330</v>
      </c>
      <c r="K548" s="53"/>
    </row>
    <row r="549" spans="1:11" s="38" customFormat="1" ht="17.25" customHeight="1" x14ac:dyDescent="0.25">
      <c r="A549" s="10"/>
      <c r="B549" s="83" t="s">
        <v>423</v>
      </c>
      <c r="C549" s="19"/>
      <c r="D549" s="19"/>
      <c r="E549" s="81">
        <v>8600</v>
      </c>
      <c r="F549" s="81">
        <v>8600</v>
      </c>
      <c r="G549" s="81">
        <f t="shared" si="21"/>
        <v>100</v>
      </c>
      <c r="H549" s="96"/>
      <c r="I549" s="100"/>
      <c r="J549" s="100"/>
      <c r="K549" s="53"/>
    </row>
    <row r="550" spans="1:11" s="38" customFormat="1" ht="17.25" customHeight="1" x14ac:dyDescent="0.25">
      <c r="A550" s="10"/>
      <c r="B550" s="84" t="s">
        <v>54</v>
      </c>
      <c r="C550" s="19"/>
      <c r="D550" s="19"/>
      <c r="E550" s="85">
        <f>E545+E547+E549</f>
        <v>138962.20000000001</v>
      </c>
      <c r="F550" s="85">
        <f>F545+F547+F549</f>
        <v>138962.20000000001</v>
      </c>
      <c r="G550" s="85">
        <f t="shared" si="21"/>
        <v>100</v>
      </c>
      <c r="H550" s="96"/>
      <c r="I550" s="100"/>
      <c r="J550" s="100"/>
      <c r="K550" s="53"/>
    </row>
    <row r="551" spans="1:11" s="38" customFormat="1" ht="17.25" customHeight="1" x14ac:dyDescent="0.25">
      <c r="A551" s="10"/>
      <c r="B551" s="83" t="s">
        <v>423</v>
      </c>
      <c r="C551" s="19"/>
      <c r="D551" s="19"/>
      <c r="E551" s="81">
        <f>E545+E547+E549</f>
        <v>138962.20000000001</v>
      </c>
      <c r="F551" s="81">
        <f>F545+F547+F549</f>
        <v>138962.20000000001</v>
      </c>
      <c r="G551" s="81">
        <f t="shared" si="21"/>
        <v>100</v>
      </c>
      <c r="H551" s="96"/>
      <c r="I551" s="100"/>
      <c r="J551" s="100"/>
      <c r="K551" s="53"/>
    </row>
    <row r="552" spans="1:11" ht="17.25" customHeight="1" x14ac:dyDescent="0.25">
      <c r="A552" s="10"/>
      <c r="B552" s="24"/>
      <c r="C552" s="12"/>
      <c r="D552" s="12"/>
      <c r="E552" s="20"/>
      <c r="F552" s="20"/>
      <c r="G552" s="20"/>
      <c r="H552" s="13"/>
      <c r="I552" s="14"/>
      <c r="J552" s="14"/>
      <c r="K552" s="14"/>
    </row>
    <row r="553" spans="1:11" ht="19.5" customHeight="1" x14ac:dyDescent="0.25">
      <c r="A553" s="541" t="s">
        <v>88</v>
      </c>
      <c r="B553" s="541"/>
      <c r="C553" s="541"/>
      <c r="D553" s="541"/>
      <c r="E553" s="541"/>
      <c r="F553" s="541"/>
      <c r="G553" s="541"/>
      <c r="H553" s="541"/>
      <c r="I553" s="541"/>
      <c r="J553" s="541"/>
      <c r="K553" s="541"/>
    </row>
    <row r="554" spans="1:11" s="38" customFormat="1" ht="128.25" customHeight="1" x14ac:dyDescent="0.25">
      <c r="A554" s="10">
        <v>181</v>
      </c>
      <c r="B554" s="64" t="s">
        <v>89</v>
      </c>
      <c r="C554" s="19" t="s">
        <v>14</v>
      </c>
      <c r="D554" s="17" t="s">
        <v>16</v>
      </c>
      <c r="E554" s="81">
        <v>2100</v>
      </c>
      <c r="F554" s="81">
        <v>2100</v>
      </c>
      <c r="G554" s="81">
        <f t="shared" ref="G554:G555" si="22">F554/E554*100</f>
        <v>100</v>
      </c>
      <c r="H554" s="96">
        <v>100</v>
      </c>
      <c r="I554" s="101"/>
      <c r="J554" s="23" t="s">
        <v>330</v>
      </c>
      <c r="K554" s="53"/>
    </row>
    <row r="555" spans="1:11" s="38" customFormat="1" ht="17.25" customHeight="1" x14ac:dyDescent="0.25">
      <c r="A555" s="10"/>
      <c r="B555" s="83" t="s">
        <v>423</v>
      </c>
      <c r="C555" s="19"/>
      <c r="D555" s="19"/>
      <c r="E555" s="81">
        <v>2100</v>
      </c>
      <c r="F555" s="81">
        <v>2100</v>
      </c>
      <c r="G555" s="81">
        <f t="shared" si="22"/>
        <v>100</v>
      </c>
      <c r="H555" s="96"/>
      <c r="I555" s="101"/>
      <c r="J555" s="23"/>
      <c r="K555" s="53"/>
    </row>
    <row r="556" spans="1:11" s="38" customFormat="1" ht="72.75" customHeight="1" x14ac:dyDescent="0.25">
      <c r="A556" s="10">
        <v>182</v>
      </c>
      <c r="B556" s="64" t="s">
        <v>90</v>
      </c>
      <c r="C556" s="19" t="s">
        <v>14</v>
      </c>
      <c r="D556" s="17" t="s">
        <v>16</v>
      </c>
      <c r="E556" s="81">
        <v>2300</v>
      </c>
      <c r="F556" s="81">
        <v>2300</v>
      </c>
      <c r="G556" s="81">
        <f>F556/E556*100</f>
        <v>100</v>
      </c>
      <c r="H556" s="21">
        <v>100</v>
      </c>
      <c r="I556" s="102"/>
      <c r="J556" s="23" t="s">
        <v>330</v>
      </c>
      <c r="K556" s="53"/>
    </row>
    <row r="557" spans="1:11" s="38" customFormat="1" ht="17.25" customHeight="1" x14ac:dyDescent="0.25">
      <c r="A557" s="10"/>
      <c r="B557" s="24" t="s">
        <v>423</v>
      </c>
      <c r="C557" s="17"/>
      <c r="D557" s="17"/>
      <c r="E557" s="103">
        <v>2300</v>
      </c>
      <c r="F557" s="103">
        <v>2300</v>
      </c>
      <c r="G557" s="103">
        <f>F557/E557*100</f>
        <v>100</v>
      </c>
      <c r="H557" s="27"/>
      <c r="I557" s="59"/>
      <c r="J557" s="23"/>
      <c r="K557" s="53"/>
    </row>
    <row r="558" spans="1:11" s="38" customFormat="1" ht="81" customHeight="1" x14ac:dyDescent="0.25">
      <c r="A558" s="10">
        <v>183</v>
      </c>
      <c r="B558" s="18" t="s">
        <v>91</v>
      </c>
      <c r="C558" s="17" t="s">
        <v>92</v>
      </c>
      <c r="D558" s="17" t="s">
        <v>16</v>
      </c>
      <c r="E558" s="103">
        <v>4800</v>
      </c>
      <c r="F558" s="103">
        <v>4800</v>
      </c>
      <c r="G558" s="103">
        <f t="shared" ref="G558:G563" si="23">F558/E558*100</f>
        <v>100</v>
      </c>
      <c r="H558" s="27">
        <v>100</v>
      </c>
      <c r="I558" s="59"/>
      <c r="J558" s="23" t="s">
        <v>330</v>
      </c>
      <c r="K558" s="53"/>
    </row>
    <row r="559" spans="1:11" s="38" customFormat="1" ht="17.25" customHeight="1" x14ac:dyDescent="0.25">
      <c r="A559" s="10"/>
      <c r="B559" s="83" t="s">
        <v>423</v>
      </c>
      <c r="C559" s="17"/>
      <c r="D559" s="17"/>
      <c r="E559" s="103">
        <v>4800</v>
      </c>
      <c r="F559" s="103">
        <v>4800</v>
      </c>
      <c r="G559" s="103">
        <f t="shared" si="23"/>
        <v>100</v>
      </c>
      <c r="H559" s="27"/>
      <c r="I559" s="59"/>
      <c r="J559" s="23"/>
      <c r="K559" s="53"/>
    </row>
    <row r="560" spans="1:11" s="38" customFormat="1" ht="85.5" customHeight="1" x14ac:dyDescent="0.25">
      <c r="A560" s="10">
        <v>184</v>
      </c>
      <c r="B560" s="18" t="s">
        <v>93</v>
      </c>
      <c r="C560" s="17" t="s">
        <v>92</v>
      </c>
      <c r="D560" s="17" t="s">
        <v>16</v>
      </c>
      <c r="E560" s="103">
        <v>4700</v>
      </c>
      <c r="F560" s="103">
        <v>4700</v>
      </c>
      <c r="G560" s="103">
        <f t="shared" si="23"/>
        <v>100</v>
      </c>
      <c r="H560" s="27">
        <v>100</v>
      </c>
      <c r="I560" s="59"/>
      <c r="J560" s="23" t="s">
        <v>330</v>
      </c>
      <c r="K560" s="53"/>
    </row>
    <row r="561" spans="1:11" s="38" customFormat="1" ht="17.25" customHeight="1" x14ac:dyDescent="0.25">
      <c r="A561" s="10"/>
      <c r="B561" s="24" t="s">
        <v>423</v>
      </c>
      <c r="C561" s="17"/>
      <c r="D561" s="17"/>
      <c r="E561" s="103">
        <v>4700</v>
      </c>
      <c r="F561" s="103">
        <v>4700</v>
      </c>
      <c r="G561" s="103">
        <f t="shared" si="23"/>
        <v>100</v>
      </c>
      <c r="H561" s="27"/>
      <c r="I561" s="59"/>
      <c r="J561" s="104"/>
      <c r="K561" s="53"/>
    </row>
    <row r="562" spans="1:11" s="38" customFormat="1" ht="17.25" customHeight="1" x14ac:dyDescent="0.25">
      <c r="A562" s="10"/>
      <c r="B562" s="28" t="s">
        <v>54</v>
      </c>
      <c r="C562" s="17"/>
      <c r="D562" s="17"/>
      <c r="E562" s="105">
        <f>E555+E557+E559+E561</f>
        <v>13900</v>
      </c>
      <c r="F562" s="105">
        <f>F555+F557+F559+F561</f>
        <v>13900</v>
      </c>
      <c r="G562" s="105">
        <f t="shared" si="23"/>
        <v>100</v>
      </c>
      <c r="H562" s="27"/>
      <c r="I562" s="59"/>
      <c r="J562" s="104"/>
      <c r="K562" s="53"/>
    </row>
    <row r="563" spans="1:11" s="38" customFormat="1" ht="17.25" customHeight="1" x14ac:dyDescent="0.25">
      <c r="A563" s="10"/>
      <c r="B563" s="24" t="s">
        <v>423</v>
      </c>
      <c r="C563" s="17"/>
      <c r="D563" s="17"/>
      <c r="E563" s="103">
        <f>E555+E557+E559+E561</f>
        <v>13900</v>
      </c>
      <c r="F563" s="103">
        <f>F555+F557+F559+F561</f>
        <v>13900</v>
      </c>
      <c r="G563" s="103">
        <f t="shared" si="23"/>
        <v>100</v>
      </c>
      <c r="H563" s="27"/>
      <c r="I563" s="59"/>
      <c r="J563" s="104"/>
      <c r="K563" s="53"/>
    </row>
    <row r="564" spans="1:11" ht="17.25" customHeight="1" x14ac:dyDescent="0.25">
      <c r="A564" s="541" t="s">
        <v>94</v>
      </c>
      <c r="B564" s="541"/>
      <c r="C564" s="541"/>
      <c r="D564" s="541"/>
      <c r="E564" s="541"/>
      <c r="F564" s="541"/>
      <c r="G564" s="541"/>
      <c r="H564" s="541"/>
      <c r="I564" s="541"/>
      <c r="J564" s="541"/>
      <c r="K564" s="541"/>
    </row>
    <row r="565" spans="1:11" s="38" customFormat="1" ht="50.25" customHeight="1" x14ac:dyDescent="0.25">
      <c r="A565" s="10">
        <v>185</v>
      </c>
      <c r="B565" s="64" t="s">
        <v>95</v>
      </c>
      <c r="C565" s="19" t="s">
        <v>14</v>
      </c>
      <c r="D565" s="17" t="s">
        <v>16</v>
      </c>
      <c r="E565" s="81">
        <v>1100</v>
      </c>
      <c r="F565" s="81">
        <v>1032.8699999999999</v>
      </c>
      <c r="G565" s="81">
        <f t="shared" ref="G565:G572" si="24">F565/E565*100</f>
        <v>93.897272727272721</v>
      </c>
      <c r="H565" s="21">
        <v>100</v>
      </c>
      <c r="I565" s="19"/>
      <c r="J565" s="23" t="s">
        <v>330</v>
      </c>
      <c r="K565" s="53"/>
    </row>
    <row r="566" spans="1:11" s="38" customFormat="1" ht="50.25" customHeight="1" x14ac:dyDescent="0.25">
      <c r="A566" s="10"/>
      <c r="B566" s="83" t="s">
        <v>423</v>
      </c>
      <c r="C566" s="19"/>
      <c r="D566" s="19"/>
      <c r="E566" s="81">
        <v>1100</v>
      </c>
      <c r="F566" s="81">
        <v>1032.8699999999999</v>
      </c>
      <c r="G566" s="81">
        <f t="shared" si="24"/>
        <v>93.897272727272721</v>
      </c>
      <c r="H566" s="21"/>
      <c r="I566" s="81"/>
      <c r="J566" s="23"/>
      <c r="K566" s="53"/>
    </row>
    <row r="567" spans="1:11" s="38" customFormat="1" ht="102.75" customHeight="1" x14ac:dyDescent="0.25">
      <c r="A567" s="10">
        <v>186</v>
      </c>
      <c r="B567" s="64" t="s">
        <v>96</v>
      </c>
      <c r="C567" s="19" t="s">
        <v>14</v>
      </c>
      <c r="D567" s="17" t="s">
        <v>16</v>
      </c>
      <c r="E567" s="81">
        <v>4500</v>
      </c>
      <c r="F567" s="81">
        <v>4464.3</v>
      </c>
      <c r="G567" s="81">
        <f t="shared" si="24"/>
        <v>99.206666666666663</v>
      </c>
      <c r="H567" s="21">
        <v>100</v>
      </c>
      <c r="I567" s="19"/>
      <c r="J567" s="23" t="s">
        <v>330</v>
      </c>
      <c r="K567" s="53"/>
    </row>
    <row r="568" spans="1:11" s="38" customFormat="1" ht="50.25" customHeight="1" x14ac:dyDescent="0.25">
      <c r="A568" s="10"/>
      <c r="B568" s="83" t="s">
        <v>423</v>
      </c>
      <c r="C568" s="19"/>
      <c r="D568" s="19"/>
      <c r="E568" s="81">
        <v>4500</v>
      </c>
      <c r="F568" s="81">
        <v>4464.3</v>
      </c>
      <c r="G568" s="81">
        <f t="shared" si="24"/>
        <v>99.206666666666663</v>
      </c>
      <c r="H568" s="21"/>
      <c r="I568" s="19"/>
      <c r="J568" s="23"/>
      <c r="K568" s="53"/>
    </row>
    <row r="569" spans="1:11" s="38" customFormat="1" ht="100.5" customHeight="1" x14ac:dyDescent="0.25">
      <c r="A569" s="10">
        <v>187</v>
      </c>
      <c r="B569" s="64" t="s">
        <v>97</v>
      </c>
      <c r="C569" s="19" t="s">
        <v>14</v>
      </c>
      <c r="D569" s="17" t="s">
        <v>16</v>
      </c>
      <c r="E569" s="81">
        <v>9400</v>
      </c>
      <c r="F569" s="81">
        <v>9336.19</v>
      </c>
      <c r="G569" s="81">
        <f t="shared" si="24"/>
        <v>99.321170212765963</v>
      </c>
      <c r="H569" s="21">
        <v>100</v>
      </c>
      <c r="I569" s="19"/>
      <c r="J569" s="23" t="s">
        <v>330</v>
      </c>
      <c r="K569" s="53"/>
    </row>
    <row r="570" spans="1:11" s="38" customFormat="1" ht="50.25" customHeight="1" x14ac:dyDescent="0.25">
      <c r="A570" s="10"/>
      <c r="B570" s="83" t="s">
        <v>423</v>
      </c>
      <c r="C570" s="19"/>
      <c r="D570" s="19"/>
      <c r="E570" s="81">
        <v>9400</v>
      </c>
      <c r="F570" s="81">
        <v>9336.19</v>
      </c>
      <c r="G570" s="81">
        <f t="shared" si="24"/>
        <v>99.321170212765963</v>
      </c>
      <c r="H570" s="21"/>
      <c r="I570" s="19"/>
      <c r="J570" s="23"/>
      <c r="K570" s="53"/>
    </row>
    <row r="571" spans="1:11" s="38" customFormat="1" ht="50.25" customHeight="1" x14ac:dyDescent="0.25">
      <c r="A571" s="10">
        <v>188</v>
      </c>
      <c r="B571" s="64" t="s">
        <v>98</v>
      </c>
      <c r="C571" s="19" t="s">
        <v>14</v>
      </c>
      <c r="D571" s="17" t="s">
        <v>16</v>
      </c>
      <c r="E571" s="81">
        <v>30000</v>
      </c>
      <c r="F571" s="81">
        <v>22891</v>
      </c>
      <c r="G571" s="81">
        <f t="shared" si="24"/>
        <v>76.303333333333327</v>
      </c>
      <c r="H571" s="21">
        <v>100</v>
      </c>
      <c r="I571" s="64" t="s">
        <v>425</v>
      </c>
      <c r="J571" s="23" t="s">
        <v>330</v>
      </c>
      <c r="K571" s="53"/>
    </row>
    <row r="572" spans="1:11" s="38" customFormat="1" ht="28.5" customHeight="1" x14ac:dyDescent="0.25">
      <c r="A572" s="10"/>
      <c r="B572" s="83" t="s">
        <v>423</v>
      </c>
      <c r="C572" s="19"/>
      <c r="D572" s="19"/>
      <c r="E572" s="81">
        <v>30000</v>
      </c>
      <c r="F572" s="81">
        <v>22891</v>
      </c>
      <c r="G572" s="81">
        <f t="shared" si="24"/>
        <v>76.303333333333327</v>
      </c>
      <c r="H572" s="21"/>
      <c r="I572" s="19"/>
      <c r="J572" s="102"/>
      <c r="K572" s="53"/>
    </row>
    <row r="573" spans="1:11" s="38" customFormat="1" ht="30" customHeight="1" x14ac:dyDescent="0.25">
      <c r="A573" s="10"/>
      <c r="B573" s="84" t="s">
        <v>54</v>
      </c>
      <c r="C573" s="19"/>
      <c r="D573" s="19"/>
      <c r="E573" s="85">
        <f>E565+E567+E569+E571</f>
        <v>45000</v>
      </c>
      <c r="F573" s="85">
        <f>F565+F567+F569+F571</f>
        <v>37724.36</v>
      </c>
      <c r="G573" s="85">
        <f>F573/E573*100</f>
        <v>83.831911111111111</v>
      </c>
      <c r="H573" s="21">
        <v>100</v>
      </c>
      <c r="I573" s="102"/>
      <c r="J573" s="102"/>
      <c r="K573" s="53"/>
    </row>
    <row r="574" spans="1:11" s="38" customFormat="1" ht="21" customHeight="1" x14ac:dyDescent="0.25">
      <c r="A574" s="10"/>
      <c r="B574" s="83" t="s">
        <v>423</v>
      </c>
      <c r="C574" s="19"/>
      <c r="D574" s="19"/>
      <c r="E574" s="81">
        <f>E566+E568+E570+E572</f>
        <v>45000</v>
      </c>
      <c r="F574" s="81">
        <f>F566+F568+F570+F572</f>
        <v>37724.36</v>
      </c>
      <c r="G574" s="81">
        <f>F574/E574*100</f>
        <v>83.831911111111111</v>
      </c>
      <c r="H574" s="21"/>
      <c r="I574" s="102"/>
      <c r="J574" s="102"/>
      <c r="K574" s="53"/>
    </row>
    <row r="575" spans="1:11" ht="17.25" customHeight="1" x14ac:dyDescent="0.25">
      <c r="A575" s="541" t="s">
        <v>99</v>
      </c>
      <c r="B575" s="541"/>
      <c r="C575" s="541"/>
      <c r="D575" s="541"/>
      <c r="E575" s="541"/>
      <c r="F575" s="541"/>
      <c r="G575" s="541"/>
      <c r="H575" s="541"/>
      <c r="I575" s="541"/>
      <c r="J575" s="541"/>
      <c r="K575" s="541"/>
    </row>
    <row r="576" spans="1:11" s="38" customFormat="1" ht="48.75" customHeight="1" x14ac:dyDescent="0.25">
      <c r="A576" s="10">
        <v>189</v>
      </c>
      <c r="B576" s="64" t="s">
        <v>100</v>
      </c>
      <c r="C576" s="19" t="s">
        <v>50</v>
      </c>
      <c r="D576" s="17" t="s">
        <v>16</v>
      </c>
      <c r="E576" s="81">
        <v>3600</v>
      </c>
      <c r="F576" s="81">
        <v>3600</v>
      </c>
      <c r="G576" s="81">
        <f t="shared" ref="G576:G577" si="25">F576/E576*100</f>
        <v>100</v>
      </c>
      <c r="H576" s="21">
        <v>100</v>
      </c>
      <c r="I576" s="102"/>
      <c r="J576" s="23" t="s">
        <v>330</v>
      </c>
      <c r="K576" s="53"/>
    </row>
    <row r="577" spans="1:11" s="38" customFormat="1" ht="17.25" customHeight="1" x14ac:dyDescent="0.25">
      <c r="A577" s="10"/>
      <c r="B577" s="83" t="s">
        <v>423</v>
      </c>
      <c r="C577" s="19"/>
      <c r="D577" s="19"/>
      <c r="E577" s="81">
        <v>3600</v>
      </c>
      <c r="F577" s="81">
        <v>3600</v>
      </c>
      <c r="G577" s="81">
        <f t="shared" si="25"/>
        <v>100</v>
      </c>
      <c r="H577" s="21"/>
      <c r="I577" s="102"/>
      <c r="J577" s="106"/>
      <c r="K577" s="53"/>
    </row>
    <row r="578" spans="1:11" s="38" customFormat="1" ht="17.25" customHeight="1" x14ac:dyDescent="0.25">
      <c r="A578" s="10"/>
      <c r="B578" s="84" t="s">
        <v>54</v>
      </c>
      <c r="C578" s="19"/>
      <c r="D578" s="19"/>
      <c r="E578" s="85">
        <f>E576</f>
        <v>3600</v>
      </c>
      <c r="F578" s="85">
        <f t="shared" ref="F578:G579" si="26">F576</f>
        <v>3600</v>
      </c>
      <c r="G578" s="85">
        <f t="shared" si="26"/>
        <v>100</v>
      </c>
      <c r="H578" s="21"/>
      <c r="I578" s="102"/>
      <c r="J578" s="106"/>
      <c r="K578" s="53"/>
    </row>
    <row r="579" spans="1:11" s="38" customFormat="1" ht="17.25" customHeight="1" x14ac:dyDescent="0.25">
      <c r="A579" s="10"/>
      <c r="B579" s="83" t="s">
        <v>423</v>
      </c>
      <c r="C579" s="19"/>
      <c r="D579" s="19"/>
      <c r="E579" s="81">
        <f>E577</f>
        <v>3600</v>
      </c>
      <c r="F579" s="81">
        <f t="shared" si="26"/>
        <v>3600</v>
      </c>
      <c r="G579" s="81">
        <f t="shared" si="26"/>
        <v>100</v>
      </c>
      <c r="H579" s="21"/>
      <c r="I579" s="102"/>
      <c r="J579" s="106"/>
      <c r="K579" s="53"/>
    </row>
    <row r="580" spans="1:11" ht="18.75" customHeight="1" x14ac:dyDescent="0.25">
      <c r="A580" s="541" t="s">
        <v>101</v>
      </c>
      <c r="B580" s="541"/>
      <c r="C580" s="541"/>
      <c r="D580" s="541"/>
      <c r="E580" s="541"/>
      <c r="F580" s="541"/>
      <c r="G580" s="541"/>
      <c r="H580" s="541"/>
      <c r="I580" s="541"/>
      <c r="J580" s="541"/>
      <c r="K580" s="541"/>
    </row>
    <row r="581" spans="1:11" s="38" customFormat="1" ht="80.25" customHeight="1" x14ac:dyDescent="0.25">
      <c r="A581" s="10">
        <v>190</v>
      </c>
      <c r="B581" s="18" t="s">
        <v>102</v>
      </c>
      <c r="C581" s="17" t="s">
        <v>103</v>
      </c>
      <c r="D581" s="17" t="s">
        <v>16</v>
      </c>
      <c r="E581" s="103">
        <v>6600</v>
      </c>
      <c r="F581" s="103">
        <v>6600</v>
      </c>
      <c r="G581" s="103">
        <f>F581/E581*100</f>
        <v>100</v>
      </c>
      <c r="H581" s="27">
        <v>100</v>
      </c>
      <c r="I581" s="59"/>
      <c r="J581" s="23" t="s">
        <v>330</v>
      </c>
      <c r="K581" s="53"/>
    </row>
    <row r="582" spans="1:11" s="38" customFormat="1" ht="17.25" customHeight="1" x14ac:dyDescent="0.25">
      <c r="A582" s="10"/>
      <c r="B582" s="24" t="s">
        <v>423</v>
      </c>
      <c r="C582" s="17"/>
      <c r="D582" s="17"/>
      <c r="E582" s="103">
        <f>E581</f>
        <v>6600</v>
      </c>
      <c r="F582" s="103">
        <f>F581</f>
        <v>6600</v>
      </c>
      <c r="G582" s="103">
        <f t="shared" ref="G582" si="27">F582/E582*100</f>
        <v>100</v>
      </c>
      <c r="H582" s="27"/>
      <c r="I582" s="59"/>
      <c r="J582" s="23"/>
      <c r="K582" s="53"/>
    </row>
    <row r="583" spans="1:11" s="38" customFormat="1" ht="53.25" customHeight="1" x14ac:dyDescent="0.25">
      <c r="A583" s="10">
        <v>191</v>
      </c>
      <c r="B583" s="18" t="s">
        <v>104</v>
      </c>
      <c r="C583" s="17" t="s">
        <v>103</v>
      </c>
      <c r="D583" s="17" t="s">
        <v>16</v>
      </c>
      <c r="E583" s="103">
        <v>6413.1</v>
      </c>
      <c r="F583" s="103">
        <v>6413.1</v>
      </c>
      <c r="G583" s="103">
        <f>F583/E583*100</f>
        <v>100</v>
      </c>
      <c r="H583" s="27">
        <v>100</v>
      </c>
      <c r="I583" s="59"/>
      <c r="J583" s="23" t="s">
        <v>330</v>
      </c>
      <c r="K583" s="53"/>
    </row>
    <row r="584" spans="1:11" s="38" customFormat="1" ht="17.25" customHeight="1" x14ac:dyDescent="0.25">
      <c r="A584" s="10"/>
      <c r="B584" s="24" t="s">
        <v>423</v>
      </c>
      <c r="C584" s="17"/>
      <c r="D584" s="17"/>
      <c r="E584" s="103">
        <v>6413.1</v>
      </c>
      <c r="F584" s="103">
        <v>6413.1</v>
      </c>
      <c r="G584" s="103">
        <f>F584/E584*100</f>
        <v>100</v>
      </c>
      <c r="H584" s="27"/>
      <c r="I584" s="59"/>
      <c r="J584" s="107"/>
      <c r="K584" s="53"/>
    </row>
    <row r="585" spans="1:11" s="38" customFormat="1" ht="17.25" customHeight="1" x14ac:dyDescent="0.25">
      <c r="A585" s="10"/>
      <c r="B585" s="28" t="s">
        <v>54</v>
      </c>
      <c r="C585" s="17"/>
      <c r="D585" s="17"/>
      <c r="E585" s="105">
        <f>E581+E583</f>
        <v>13013.1</v>
      </c>
      <c r="F585" s="105">
        <f>F581+F583</f>
        <v>13013.1</v>
      </c>
      <c r="G585" s="105">
        <f>G583</f>
        <v>100</v>
      </c>
      <c r="H585" s="27"/>
      <c r="I585" s="59"/>
      <c r="J585" s="104"/>
      <c r="K585" s="53"/>
    </row>
    <row r="586" spans="1:11" s="38" customFormat="1" ht="17.25" customHeight="1" x14ac:dyDescent="0.25">
      <c r="A586" s="10"/>
      <c r="B586" s="83" t="s">
        <v>423</v>
      </c>
      <c r="C586" s="19"/>
      <c r="D586" s="19"/>
      <c r="E586" s="81">
        <f>E585</f>
        <v>13013.1</v>
      </c>
      <c r="F586" s="81">
        <f t="shared" ref="F586:G586" si="28">F585</f>
        <v>13013.1</v>
      </c>
      <c r="G586" s="81">
        <f t="shared" si="28"/>
        <v>100</v>
      </c>
      <c r="H586" s="21"/>
      <c r="I586" s="102"/>
      <c r="J586" s="106"/>
      <c r="K586" s="53"/>
    </row>
    <row r="587" spans="1:11" s="38" customFormat="1" ht="21.75" customHeight="1" x14ac:dyDescent="0.25">
      <c r="A587" s="541" t="s">
        <v>105</v>
      </c>
      <c r="B587" s="541"/>
      <c r="C587" s="541"/>
      <c r="D587" s="541"/>
      <c r="E587" s="541"/>
      <c r="F587" s="541"/>
      <c r="G587" s="541"/>
      <c r="H587" s="541"/>
      <c r="I587" s="541"/>
      <c r="J587" s="541"/>
      <c r="K587" s="541"/>
    </row>
    <row r="588" spans="1:11" s="38" customFormat="1" ht="34.5" customHeight="1" x14ac:dyDescent="0.25">
      <c r="A588" s="10">
        <v>192</v>
      </c>
      <c r="B588" s="64" t="s">
        <v>106</v>
      </c>
      <c r="C588" s="19" t="s">
        <v>48</v>
      </c>
      <c r="D588" s="17" t="s">
        <v>16</v>
      </c>
      <c r="E588" s="81">
        <v>19771.400000000001</v>
      </c>
      <c r="F588" s="81">
        <v>19771.400000000001</v>
      </c>
      <c r="G588" s="81">
        <f t="shared" ref="G588:G591" si="29">F588/E588*100</f>
        <v>100</v>
      </c>
      <c r="H588" s="21">
        <v>100</v>
      </c>
      <c r="I588" s="64"/>
      <c r="J588" s="23" t="s">
        <v>330</v>
      </c>
      <c r="K588" s="53"/>
    </row>
    <row r="589" spans="1:11" s="38" customFormat="1" ht="17.25" customHeight="1" x14ac:dyDescent="0.25">
      <c r="A589" s="10"/>
      <c r="B589" s="64" t="s">
        <v>423</v>
      </c>
      <c r="C589" s="19"/>
      <c r="D589" s="19"/>
      <c r="E589" s="81">
        <v>19771.400000000001</v>
      </c>
      <c r="F589" s="81">
        <v>19771.400000000001</v>
      </c>
      <c r="G589" s="81">
        <f t="shared" si="29"/>
        <v>100</v>
      </c>
      <c r="H589" s="21"/>
      <c r="I589" s="64"/>
      <c r="J589" s="64"/>
      <c r="K589" s="53"/>
    </row>
    <row r="590" spans="1:11" s="38" customFormat="1" ht="21.75" customHeight="1" x14ac:dyDescent="0.25">
      <c r="A590" s="10"/>
      <c r="B590" s="84" t="s">
        <v>54</v>
      </c>
      <c r="C590" s="19"/>
      <c r="D590" s="19"/>
      <c r="E590" s="85">
        <f>E588</f>
        <v>19771.400000000001</v>
      </c>
      <c r="F590" s="85">
        <f>F588</f>
        <v>19771.400000000001</v>
      </c>
      <c r="G590" s="85">
        <f t="shared" si="29"/>
        <v>100</v>
      </c>
      <c r="H590" s="21"/>
      <c r="I590" s="64"/>
      <c r="J590" s="64"/>
      <c r="K590" s="53"/>
    </row>
    <row r="591" spans="1:11" s="38" customFormat="1" ht="17.25" customHeight="1" x14ac:dyDescent="0.25">
      <c r="A591" s="10"/>
      <c r="B591" s="83" t="s">
        <v>423</v>
      </c>
      <c r="C591" s="19"/>
      <c r="D591" s="19"/>
      <c r="E591" s="81">
        <f>E590</f>
        <v>19771.400000000001</v>
      </c>
      <c r="F591" s="81">
        <f>F590</f>
        <v>19771.400000000001</v>
      </c>
      <c r="G591" s="81">
        <f t="shared" si="29"/>
        <v>100</v>
      </c>
      <c r="H591" s="21"/>
      <c r="I591" s="64"/>
      <c r="J591" s="64"/>
      <c r="K591" s="53"/>
    </row>
    <row r="592" spans="1:11" ht="17.25" customHeight="1" x14ac:dyDescent="0.25">
      <c r="A592" s="541" t="s">
        <v>107</v>
      </c>
      <c r="B592" s="541"/>
      <c r="C592" s="541"/>
      <c r="D592" s="541"/>
      <c r="E592" s="541"/>
      <c r="F592" s="541"/>
      <c r="G592" s="541"/>
      <c r="H592" s="541"/>
      <c r="I592" s="541"/>
      <c r="J592" s="541"/>
      <c r="K592" s="541"/>
    </row>
    <row r="593" spans="1:11" s="38" customFormat="1" ht="69.75" customHeight="1" x14ac:dyDescent="0.25">
      <c r="A593" s="10">
        <v>193</v>
      </c>
      <c r="B593" s="64" t="s">
        <v>108</v>
      </c>
      <c r="C593" s="19" t="s">
        <v>50</v>
      </c>
      <c r="D593" s="17" t="s">
        <v>16</v>
      </c>
      <c r="E593" s="81">
        <f>E594+E595</f>
        <v>7700</v>
      </c>
      <c r="F593" s="81">
        <f>F594+F595</f>
        <v>7700</v>
      </c>
      <c r="G593" s="81">
        <f t="shared" ref="G593:G611" si="30">F593/E593*100</f>
        <v>100</v>
      </c>
      <c r="H593" s="21">
        <v>100</v>
      </c>
      <c r="I593" s="64"/>
      <c r="J593" s="64" t="s">
        <v>330</v>
      </c>
      <c r="K593" s="53"/>
    </row>
    <row r="594" spans="1:11" s="38" customFormat="1" ht="17.25" customHeight="1" x14ac:dyDescent="0.25">
      <c r="A594" s="10"/>
      <c r="B594" s="83" t="s">
        <v>423</v>
      </c>
      <c r="C594" s="19"/>
      <c r="D594" s="19"/>
      <c r="E594" s="81">
        <v>5200</v>
      </c>
      <c r="F594" s="81">
        <v>5200</v>
      </c>
      <c r="G594" s="81">
        <f t="shared" si="30"/>
        <v>100</v>
      </c>
      <c r="H594" s="21"/>
      <c r="I594" s="64"/>
      <c r="J594" s="64"/>
      <c r="K594" s="53"/>
    </row>
    <row r="595" spans="1:11" s="38" customFormat="1" ht="17.25" customHeight="1" x14ac:dyDescent="0.25">
      <c r="A595" s="10"/>
      <c r="B595" s="83" t="s">
        <v>424</v>
      </c>
      <c r="C595" s="19"/>
      <c r="D595" s="19"/>
      <c r="E595" s="81">
        <v>2500</v>
      </c>
      <c r="F595" s="81">
        <v>2500</v>
      </c>
      <c r="G595" s="81">
        <f t="shared" si="30"/>
        <v>100</v>
      </c>
      <c r="H595" s="21"/>
      <c r="I595" s="64"/>
      <c r="J595" s="64"/>
      <c r="K595" s="53"/>
    </row>
    <row r="596" spans="1:11" s="38" customFormat="1" ht="54" customHeight="1" x14ac:dyDescent="0.25">
      <c r="A596" s="10">
        <v>194</v>
      </c>
      <c r="B596" s="64" t="s">
        <v>109</v>
      </c>
      <c r="C596" s="19" t="s">
        <v>50</v>
      </c>
      <c r="D596" s="17" t="s">
        <v>16</v>
      </c>
      <c r="E596" s="81">
        <f>E597+E598</f>
        <v>7200</v>
      </c>
      <c r="F596" s="81">
        <f>F597+F598</f>
        <v>7200</v>
      </c>
      <c r="G596" s="81">
        <f t="shared" si="30"/>
        <v>100</v>
      </c>
      <c r="H596" s="21">
        <v>100</v>
      </c>
      <c r="I596" s="64"/>
      <c r="J596" s="64" t="s">
        <v>330</v>
      </c>
      <c r="K596" s="53"/>
    </row>
    <row r="597" spans="1:11" s="38" customFormat="1" ht="17.25" customHeight="1" x14ac:dyDescent="0.25">
      <c r="A597" s="10"/>
      <c r="B597" s="83" t="s">
        <v>423</v>
      </c>
      <c r="C597" s="19"/>
      <c r="D597" s="19"/>
      <c r="E597" s="81">
        <v>4700</v>
      </c>
      <c r="F597" s="81">
        <v>4700</v>
      </c>
      <c r="G597" s="81">
        <f t="shared" si="30"/>
        <v>100</v>
      </c>
      <c r="H597" s="21"/>
      <c r="I597" s="64"/>
      <c r="J597" s="64"/>
      <c r="K597" s="53"/>
    </row>
    <row r="598" spans="1:11" s="38" customFormat="1" ht="17.25" customHeight="1" x14ac:dyDescent="0.25">
      <c r="A598" s="10"/>
      <c r="B598" s="83" t="s">
        <v>424</v>
      </c>
      <c r="C598" s="19"/>
      <c r="D598" s="19"/>
      <c r="E598" s="81">
        <v>2500</v>
      </c>
      <c r="F598" s="81">
        <v>2500</v>
      </c>
      <c r="G598" s="81">
        <f t="shared" si="30"/>
        <v>100</v>
      </c>
      <c r="H598" s="21"/>
      <c r="I598" s="64"/>
      <c r="J598" s="64"/>
      <c r="K598" s="53"/>
    </row>
    <row r="599" spans="1:11" s="38" customFormat="1" ht="97.5" customHeight="1" x14ac:dyDescent="0.25">
      <c r="A599" s="10">
        <v>195</v>
      </c>
      <c r="B599" s="64" t="s">
        <v>110</v>
      </c>
      <c r="C599" s="19" t="s">
        <v>50</v>
      </c>
      <c r="D599" s="17" t="s">
        <v>16</v>
      </c>
      <c r="E599" s="81">
        <f>E600+E601</f>
        <v>11500</v>
      </c>
      <c r="F599" s="81">
        <f>F600+F601</f>
        <v>11500</v>
      </c>
      <c r="G599" s="81">
        <f t="shared" si="30"/>
        <v>100</v>
      </c>
      <c r="H599" s="21">
        <v>100</v>
      </c>
      <c r="I599" s="64"/>
      <c r="J599" s="64" t="s">
        <v>330</v>
      </c>
      <c r="K599" s="53"/>
    </row>
    <row r="600" spans="1:11" s="38" customFormat="1" ht="17.25" customHeight="1" x14ac:dyDescent="0.25">
      <c r="A600" s="10"/>
      <c r="B600" s="83" t="s">
        <v>423</v>
      </c>
      <c r="C600" s="19"/>
      <c r="D600" s="19"/>
      <c r="E600" s="81">
        <v>7000</v>
      </c>
      <c r="F600" s="81">
        <v>7000</v>
      </c>
      <c r="G600" s="81">
        <f t="shared" si="30"/>
        <v>100</v>
      </c>
      <c r="H600" s="21"/>
      <c r="I600" s="64"/>
      <c r="J600" s="64"/>
      <c r="K600" s="53"/>
    </row>
    <row r="601" spans="1:11" s="38" customFormat="1" ht="17.25" customHeight="1" x14ac:dyDescent="0.25">
      <c r="A601" s="10"/>
      <c r="B601" s="83" t="s">
        <v>424</v>
      </c>
      <c r="C601" s="19"/>
      <c r="D601" s="19"/>
      <c r="E601" s="81">
        <v>4500</v>
      </c>
      <c r="F601" s="81">
        <v>4500</v>
      </c>
      <c r="G601" s="81">
        <f t="shared" si="30"/>
        <v>100</v>
      </c>
      <c r="H601" s="21"/>
      <c r="I601" s="64"/>
      <c r="J601" s="64"/>
      <c r="K601" s="53"/>
    </row>
    <row r="602" spans="1:11" s="38" customFormat="1" ht="51.75" customHeight="1" x14ac:dyDescent="0.25">
      <c r="A602" s="10">
        <v>196</v>
      </c>
      <c r="B602" s="64" t="s">
        <v>111</v>
      </c>
      <c r="C602" s="19" t="s">
        <v>50</v>
      </c>
      <c r="D602" s="17" t="s">
        <v>16</v>
      </c>
      <c r="E602" s="81">
        <v>3900</v>
      </c>
      <c r="F602" s="81">
        <v>3900</v>
      </c>
      <c r="G602" s="81">
        <f t="shared" si="30"/>
        <v>100</v>
      </c>
      <c r="H602" s="21">
        <v>100</v>
      </c>
      <c r="I602" s="64"/>
      <c r="J602" s="64" t="s">
        <v>330</v>
      </c>
      <c r="K602" s="53"/>
    </row>
    <row r="603" spans="1:11" s="38" customFormat="1" ht="17.25" customHeight="1" x14ac:dyDescent="0.25">
      <c r="A603" s="10"/>
      <c r="B603" s="83" t="s">
        <v>423</v>
      </c>
      <c r="C603" s="19"/>
      <c r="D603" s="19"/>
      <c r="E603" s="81">
        <v>3900</v>
      </c>
      <c r="F603" s="81">
        <v>3900</v>
      </c>
      <c r="G603" s="81">
        <f t="shared" si="30"/>
        <v>100</v>
      </c>
      <c r="H603" s="21"/>
      <c r="I603" s="64"/>
      <c r="J603" s="64"/>
      <c r="K603" s="53"/>
    </row>
    <row r="604" spans="1:11" s="38" customFormat="1" ht="115.5" customHeight="1" x14ac:dyDescent="0.25">
      <c r="A604" s="10">
        <v>197</v>
      </c>
      <c r="B604" s="64" t="s">
        <v>112</v>
      </c>
      <c r="C604" s="19" t="s">
        <v>50</v>
      </c>
      <c r="D604" s="17" t="s">
        <v>16</v>
      </c>
      <c r="E604" s="81">
        <f>E605+E606</f>
        <v>10200</v>
      </c>
      <c r="F604" s="81">
        <f>F605+F606</f>
        <v>10200</v>
      </c>
      <c r="G604" s="81">
        <f t="shared" si="30"/>
        <v>100</v>
      </c>
      <c r="H604" s="21">
        <v>100</v>
      </c>
      <c r="I604" s="64"/>
      <c r="J604" s="64" t="s">
        <v>330</v>
      </c>
      <c r="K604" s="53"/>
    </row>
    <row r="605" spans="1:11" s="38" customFormat="1" ht="17.25" customHeight="1" x14ac:dyDescent="0.25">
      <c r="A605" s="10"/>
      <c r="B605" s="83" t="s">
        <v>423</v>
      </c>
      <c r="C605" s="19"/>
      <c r="D605" s="19"/>
      <c r="E605" s="81">
        <v>5700</v>
      </c>
      <c r="F605" s="81">
        <v>5700</v>
      </c>
      <c r="G605" s="81">
        <f t="shared" si="30"/>
        <v>100</v>
      </c>
      <c r="H605" s="21"/>
      <c r="I605" s="64"/>
      <c r="J605" s="64"/>
      <c r="K605" s="53"/>
    </row>
    <row r="606" spans="1:11" s="38" customFormat="1" ht="17.25" customHeight="1" x14ac:dyDescent="0.25">
      <c r="A606" s="10"/>
      <c r="B606" s="83" t="s">
        <v>424</v>
      </c>
      <c r="C606" s="19"/>
      <c r="D606" s="19"/>
      <c r="E606" s="81">
        <v>4500</v>
      </c>
      <c r="F606" s="81">
        <v>4500</v>
      </c>
      <c r="G606" s="81">
        <f t="shared" si="30"/>
        <v>100</v>
      </c>
      <c r="H606" s="21"/>
      <c r="I606" s="64"/>
      <c r="J606" s="64"/>
      <c r="K606" s="53"/>
    </row>
    <row r="607" spans="1:11" s="38" customFormat="1" ht="114.75" customHeight="1" x14ac:dyDescent="0.25">
      <c r="A607" s="10">
        <v>198</v>
      </c>
      <c r="B607" s="64" t="s">
        <v>113</v>
      </c>
      <c r="C607" s="19" t="s">
        <v>50</v>
      </c>
      <c r="D607" s="17" t="s">
        <v>16</v>
      </c>
      <c r="E607" s="81">
        <v>7100</v>
      </c>
      <c r="F607" s="81">
        <v>7100</v>
      </c>
      <c r="G607" s="81">
        <f t="shared" si="30"/>
        <v>100</v>
      </c>
      <c r="H607" s="21">
        <v>100</v>
      </c>
      <c r="I607" s="64"/>
      <c r="J607" s="64" t="s">
        <v>330</v>
      </c>
      <c r="K607" s="53"/>
    </row>
    <row r="608" spans="1:11" s="38" customFormat="1" ht="17.25" customHeight="1" x14ac:dyDescent="0.25">
      <c r="A608" s="10"/>
      <c r="B608" s="83" t="s">
        <v>423</v>
      </c>
      <c r="C608" s="19"/>
      <c r="D608" s="19"/>
      <c r="E608" s="81">
        <v>7100</v>
      </c>
      <c r="F608" s="81">
        <v>7100</v>
      </c>
      <c r="G608" s="81">
        <f t="shared" si="30"/>
        <v>100</v>
      </c>
      <c r="H608" s="21"/>
      <c r="I608" s="64"/>
      <c r="J608" s="64"/>
      <c r="K608" s="53"/>
    </row>
    <row r="609" spans="1:11" s="38" customFormat="1" ht="17.25" customHeight="1" x14ac:dyDescent="0.25">
      <c r="A609" s="10"/>
      <c r="B609" s="84" t="s">
        <v>54</v>
      </c>
      <c r="C609" s="19"/>
      <c r="D609" s="19"/>
      <c r="E609" s="85">
        <f>E610+E611</f>
        <v>47600</v>
      </c>
      <c r="F609" s="85">
        <f>F610+F611</f>
        <v>47600</v>
      </c>
      <c r="G609" s="85">
        <f t="shared" si="30"/>
        <v>100</v>
      </c>
      <c r="H609" s="21"/>
      <c r="I609" s="64"/>
      <c r="J609" s="64"/>
      <c r="K609" s="53"/>
    </row>
    <row r="610" spans="1:11" s="38" customFormat="1" ht="17.25" customHeight="1" x14ac:dyDescent="0.25">
      <c r="A610" s="10"/>
      <c r="B610" s="83" t="s">
        <v>423</v>
      </c>
      <c r="C610" s="19"/>
      <c r="D610" s="19"/>
      <c r="E610" s="81">
        <f>E594+E597+E600+E603+E605+E608</f>
        <v>33600</v>
      </c>
      <c r="F610" s="81">
        <f>F594+F597+F600+F603+F605+F608</f>
        <v>33600</v>
      </c>
      <c r="G610" s="81">
        <f t="shared" si="30"/>
        <v>100</v>
      </c>
      <c r="H610" s="21"/>
      <c r="I610" s="64"/>
      <c r="J610" s="64"/>
      <c r="K610" s="53"/>
    </row>
    <row r="611" spans="1:11" s="38" customFormat="1" ht="17.25" customHeight="1" x14ac:dyDescent="0.25">
      <c r="A611" s="10"/>
      <c r="B611" s="83" t="s">
        <v>424</v>
      </c>
      <c r="C611" s="19"/>
      <c r="D611" s="19"/>
      <c r="E611" s="81">
        <f>E595+E598+E601+E606</f>
        <v>14000</v>
      </c>
      <c r="F611" s="81">
        <f>F595+F598+F601+F606</f>
        <v>14000</v>
      </c>
      <c r="G611" s="81">
        <f t="shared" si="30"/>
        <v>100</v>
      </c>
      <c r="H611" s="21"/>
      <c r="I611" s="64"/>
      <c r="J611" s="64"/>
      <c r="K611" s="53"/>
    </row>
    <row r="612" spans="1:11" ht="17.25" customHeight="1" x14ac:dyDescent="0.25">
      <c r="A612" s="10"/>
      <c r="B612" s="24"/>
      <c r="C612" s="12"/>
      <c r="D612" s="12"/>
      <c r="E612" s="20"/>
      <c r="F612" s="20"/>
      <c r="G612" s="20"/>
      <c r="H612" s="13"/>
      <c r="I612" s="14"/>
      <c r="J612" s="14"/>
      <c r="K612" s="14"/>
    </row>
    <row r="613" spans="1:11" ht="17.25" customHeight="1" x14ac:dyDescent="0.25">
      <c r="A613" s="541" t="s">
        <v>114</v>
      </c>
      <c r="B613" s="541"/>
      <c r="C613" s="541"/>
      <c r="D613" s="541"/>
      <c r="E613" s="541"/>
      <c r="F613" s="541"/>
      <c r="G613" s="541"/>
      <c r="H613" s="541"/>
      <c r="I613" s="541"/>
      <c r="J613" s="541"/>
      <c r="K613" s="541"/>
    </row>
    <row r="614" spans="1:11" s="38" customFormat="1" ht="69" customHeight="1" x14ac:dyDescent="0.25">
      <c r="A614" s="17">
        <v>199</v>
      </c>
      <c r="B614" s="64" t="s">
        <v>115</v>
      </c>
      <c r="C614" s="19" t="s">
        <v>50</v>
      </c>
      <c r="D614" s="17" t="s">
        <v>16</v>
      </c>
      <c r="E614" s="81">
        <v>2400</v>
      </c>
      <c r="F614" s="81">
        <v>2400</v>
      </c>
      <c r="G614" s="81">
        <f>F614/E614*100</f>
        <v>100</v>
      </c>
      <c r="H614" s="21">
        <v>100</v>
      </c>
      <c r="I614" s="108"/>
      <c r="J614" s="64" t="s">
        <v>330</v>
      </c>
      <c r="K614" s="17"/>
    </row>
    <row r="615" spans="1:11" s="38" customFormat="1" ht="17.25" customHeight="1" x14ac:dyDescent="0.25">
      <c r="A615" s="17"/>
      <c r="B615" s="83" t="s">
        <v>423</v>
      </c>
      <c r="C615" s="19"/>
      <c r="D615" s="19"/>
      <c r="E615" s="81">
        <v>2400</v>
      </c>
      <c r="F615" s="81">
        <v>2400</v>
      </c>
      <c r="G615" s="81">
        <f t="shared" ref="G615:G627" si="31">F615/E615*100</f>
        <v>100</v>
      </c>
      <c r="H615" s="21"/>
      <c r="I615" s="108"/>
      <c r="J615" s="19"/>
      <c r="K615" s="17"/>
    </row>
    <row r="616" spans="1:11" s="38" customFormat="1" ht="71.25" customHeight="1" x14ac:dyDescent="0.25">
      <c r="A616" s="17">
        <v>200</v>
      </c>
      <c r="B616" s="64" t="s">
        <v>116</v>
      </c>
      <c r="C616" s="19" t="s">
        <v>50</v>
      </c>
      <c r="D616" s="17" t="s">
        <v>16</v>
      </c>
      <c r="E616" s="81">
        <v>2400</v>
      </c>
      <c r="F616" s="81">
        <v>2400</v>
      </c>
      <c r="G616" s="81">
        <f t="shared" si="31"/>
        <v>100</v>
      </c>
      <c r="H616" s="21">
        <v>100</v>
      </c>
      <c r="I616" s="108"/>
      <c r="J616" s="64" t="s">
        <v>330</v>
      </c>
      <c r="K616" s="17"/>
    </row>
    <row r="617" spans="1:11" s="38" customFormat="1" ht="17.25" customHeight="1" x14ac:dyDescent="0.25">
      <c r="A617" s="17"/>
      <c r="B617" s="83" t="s">
        <v>423</v>
      </c>
      <c r="C617" s="19"/>
      <c r="D617" s="19"/>
      <c r="E617" s="81">
        <v>2400</v>
      </c>
      <c r="F617" s="81">
        <v>2400</v>
      </c>
      <c r="G617" s="81">
        <f t="shared" si="31"/>
        <v>100</v>
      </c>
      <c r="H617" s="21"/>
      <c r="I617" s="108"/>
      <c r="J617" s="19"/>
      <c r="K617" s="17"/>
    </row>
    <row r="618" spans="1:11" s="38" customFormat="1" ht="84" customHeight="1" x14ac:dyDescent="0.25">
      <c r="A618" s="17">
        <v>201</v>
      </c>
      <c r="B618" s="64" t="s">
        <v>117</v>
      </c>
      <c r="C618" s="19" t="s">
        <v>50</v>
      </c>
      <c r="D618" s="17" t="s">
        <v>16</v>
      </c>
      <c r="E618" s="81">
        <v>5700</v>
      </c>
      <c r="F618" s="81">
        <v>5700</v>
      </c>
      <c r="G618" s="81">
        <f t="shared" si="31"/>
        <v>100</v>
      </c>
      <c r="H618" s="21">
        <v>100</v>
      </c>
      <c r="I618" s="108"/>
      <c r="J618" s="64" t="s">
        <v>330</v>
      </c>
      <c r="K618" s="17"/>
    </row>
    <row r="619" spans="1:11" s="38" customFormat="1" ht="17.25" customHeight="1" x14ac:dyDescent="0.25">
      <c r="A619" s="10"/>
      <c r="B619" s="83" t="s">
        <v>423</v>
      </c>
      <c r="C619" s="19"/>
      <c r="D619" s="19"/>
      <c r="E619" s="81">
        <v>5700</v>
      </c>
      <c r="F619" s="81">
        <v>5700</v>
      </c>
      <c r="G619" s="81">
        <f t="shared" si="31"/>
        <v>100</v>
      </c>
      <c r="H619" s="21"/>
      <c r="I619" s="108"/>
      <c r="J619" s="19"/>
      <c r="K619" s="53"/>
    </row>
    <row r="620" spans="1:11" s="38" customFormat="1" ht="103.5" customHeight="1" x14ac:dyDescent="0.25">
      <c r="A620" s="10">
        <v>202</v>
      </c>
      <c r="B620" s="64" t="s">
        <v>118</v>
      </c>
      <c r="C620" s="19" t="s">
        <v>50</v>
      </c>
      <c r="D620" s="17" t="s">
        <v>16</v>
      </c>
      <c r="E620" s="81">
        <v>3000</v>
      </c>
      <c r="F620" s="81">
        <v>3000</v>
      </c>
      <c r="G620" s="81">
        <f t="shared" si="31"/>
        <v>100</v>
      </c>
      <c r="H620" s="21">
        <v>100</v>
      </c>
      <c r="I620" s="108"/>
      <c r="J620" s="64" t="s">
        <v>330</v>
      </c>
      <c r="K620" s="53"/>
    </row>
    <row r="621" spans="1:11" s="38" customFormat="1" ht="17.25" customHeight="1" x14ac:dyDescent="0.25">
      <c r="A621" s="10"/>
      <c r="B621" s="83" t="s">
        <v>423</v>
      </c>
      <c r="C621" s="19"/>
      <c r="D621" s="19"/>
      <c r="E621" s="81">
        <v>3000</v>
      </c>
      <c r="F621" s="81">
        <v>3000</v>
      </c>
      <c r="G621" s="81">
        <f t="shared" si="31"/>
        <v>100</v>
      </c>
      <c r="H621" s="21"/>
      <c r="I621" s="108"/>
      <c r="J621" s="19"/>
      <c r="K621" s="53"/>
    </row>
    <row r="622" spans="1:11" s="38" customFormat="1" ht="70.5" customHeight="1" x14ac:dyDescent="0.25">
      <c r="A622" s="10">
        <v>203</v>
      </c>
      <c r="B622" s="64" t="s">
        <v>119</v>
      </c>
      <c r="C622" s="19" t="s">
        <v>50</v>
      </c>
      <c r="D622" s="17" t="s">
        <v>16</v>
      </c>
      <c r="E622" s="81">
        <v>3000</v>
      </c>
      <c r="F622" s="81">
        <v>3000</v>
      </c>
      <c r="G622" s="81">
        <f t="shared" si="31"/>
        <v>100</v>
      </c>
      <c r="H622" s="21">
        <v>100</v>
      </c>
      <c r="I622" s="108"/>
      <c r="J622" s="64" t="s">
        <v>330</v>
      </c>
      <c r="K622" s="53"/>
    </row>
    <row r="623" spans="1:11" s="38" customFormat="1" ht="17.25" customHeight="1" x14ac:dyDescent="0.25">
      <c r="A623" s="10"/>
      <c r="B623" s="83" t="s">
        <v>423</v>
      </c>
      <c r="C623" s="19"/>
      <c r="D623" s="19"/>
      <c r="E623" s="81">
        <v>3000</v>
      </c>
      <c r="F623" s="81">
        <v>3000</v>
      </c>
      <c r="G623" s="81">
        <f t="shared" si="31"/>
        <v>100</v>
      </c>
      <c r="H623" s="21"/>
      <c r="I623" s="108"/>
      <c r="J623" s="64"/>
      <c r="K623" s="53"/>
    </row>
    <row r="624" spans="1:11" s="38" customFormat="1" ht="85.5" customHeight="1" x14ac:dyDescent="0.25">
      <c r="A624" s="10">
        <v>204</v>
      </c>
      <c r="B624" s="64" t="s">
        <v>120</v>
      </c>
      <c r="C624" s="19" t="s">
        <v>50</v>
      </c>
      <c r="D624" s="17" t="s">
        <v>16</v>
      </c>
      <c r="E624" s="81">
        <v>2400</v>
      </c>
      <c r="F624" s="81">
        <v>2400</v>
      </c>
      <c r="G624" s="81">
        <f t="shared" si="31"/>
        <v>100</v>
      </c>
      <c r="H624" s="21">
        <v>100</v>
      </c>
      <c r="I624" s="108"/>
      <c r="J624" s="64" t="s">
        <v>330</v>
      </c>
      <c r="K624" s="53"/>
    </row>
    <row r="625" spans="1:11" s="38" customFormat="1" ht="17.25" customHeight="1" x14ac:dyDescent="0.25">
      <c r="A625" s="10"/>
      <c r="B625" s="83" t="s">
        <v>423</v>
      </c>
      <c r="C625" s="19"/>
      <c r="D625" s="19"/>
      <c r="E625" s="81">
        <v>2400</v>
      </c>
      <c r="F625" s="81">
        <v>2400</v>
      </c>
      <c r="G625" s="81">
        <f t="shared" si="31"/>
        <v>100</v>
      </c>
      <c r="H625" s="21"/>
      <c r="I625" s="108"/>
      <c r="J625" s="108"/>
      <c r="K625" s="53"/>
    </row>
    <row r="626" spans="1:11" s="38" customFormat="1" ht="17.25" customHeight="1" x14ac:dyDescent="0.25">
      <c r="A626" s="10"/>
      <c r="B626" s="84" t="s">
        <v>54</v>
      </c>
      <c r="C626" s="19"/>
      <c r="D626" s="19"/>
      <c r="E626" s="85">
        <f>E614+E616+E618+E620+E622+E624</f>
        <v>18900</v>
      </c>
      <c r="F626" s="85">
        <f>F614+F616+F618+F620+F622+F624</f>
        <v>18900</v>
      </c>
      <c r="G626" s="85">
        <f t="shared" si="31"/>
        <v>100</v>
      </c>
      <c r="H626" s="21"/>
      <c r="I626" s="108"/>
      <c r="J626" s="108"/>
      <c r="K626" s="53"/>
    </row>
    <row r="627" spans="1:11" s="38" customFormat="1" ht="17.25" customHeight="1" x14ac:dyDescent="0.25">
      <c r="A627" s="10"/>
      <c r="B627" s="83" t="s">
        <v>423</v>
      </c>
      <c r="C627" s="19"/>
      <c r="D627" s="19"/>
      <c r="E627" s="81">
        <f>E615+E617+E619+E621+E623+E625</f>
        <v>18900</v>
      </c>
      <c r="F627" s="81">
        <f>F615+F617+F619+F621+F623+F625</f>
        <v>18900</v>
      </c>
      <c r="G627" s="81">
        <f t="shared" si="31"/>
        <v>100</v>
      </c>
      <c r="H627" s="21"/>
      <c r="I627" s="108"/>
      <c r="J627" s="108"/>
      <c r="K627" s="53"/>
    </row>
    <row r="628" spans="1:11" ht="26.25" customHeight="1" x14ac:dyDescent="0.25">
      <c r="A628" s="541" t="s">
        <v>121</v>
      </c>
      <c r="B628" s="541"/>
      <c r="C628" s="541"/>
      <c r="D628" s="541"/>
      <c r="E628" s="541"/>
      <c r="F628" s="541"/>
      <c r="G628" s="541"/>
      <c r="H628" s="541"/>
      <c r="I628" s="541"/>
      <c r="J628" s="541"/>
      <c r="K628" s="541"/>
    </row>
    <row r="629" spans="1:11" s="38" customFormat="1" ht="210" customHeight="1" x14ac:dyDescent="0.25">
      <c r="A629" s="10">
        <v>205</v>
      </c>
      <c r="B629" s="64" t="s">
        <v>122</v>
      </c>
      <c r="C629" s="19" t="s">
        <v>50</v>
      </c>
      <c r="D629" s="17" t="s">
        <v>16</v>
      </c>
      <c r="E629" s="81">
        <v>15400</v>
      </c>
      <c r="F629" s="81">
        <v>15400</v>
      </c>
      <c r="G629" s="81">
        <f>F629/E629*100</f>
        <v>100</v>
      </c>
      <c r="H629" s="21">
        <v>100</v>
      </c>
      <c r="I629" s="108"/>
      <c r="J629" s="64" t="s">
        <v>330</v>
      </c>
      <c r="K629" s="53"/>
    </row>
    <row r="630" spans="1:11" s="38" customFormat="1" ht="17.25" customHeight="1" x14ac:dyDescent="0.25">
      <c r="A630" s="10"/>
      <c r="B630" s="83" t="s">
        <v>423</v>
      </c>
      <c r="C630" s="19"/>
      <c r="D630" s="19"/>
      <c r="E630" s="81">
        <v>15400</v>
      </c>
      <c r="F630" s="81">
        <v>15400</v>
      </c>
      <c r="G630" s="81">
        <f>F630/E630*100</f>
        <v>100</v>
      </c>
      <c r="H630" s="109"/>
      <c r="I630" s="108"/>
      <c r="J630" s="108"/>
      <c r="K630" s="53"/>
    </row>
    <row r="631" spans="1:11" s="38" customFormat="1" ht="17.25" customHeight="1" x14ac:dyDescent="0.25">
      <c r="A631" s="10"/>
      <c r="B631" s="84" t="s">
        <v>54</v>
      </c>
      <c r="C631" s="19"/>
      <c r="D631" s="19"/>
      <c r="E631" s="85">
        <f>E629</f>
        <v>15400</v>
      </c>
      <c r="F631" s="85">
        <f>F629</f>
        <v>15400</v>
      </c>
      <c r="G631" s="85">
        <f t="shared" ref="G631:G632" si="32">F631/E631*100</f>
        <v>100</v>
      </c>
      <c r="H631" s="109"/>
      <c r="I631" s="108"/>
      <c r="J631" s="108"/>
      <c r="K631" s="53"/>
    </row>
    <row r="632" spans="1:11" s="38" customFormat="1" ht="17.25" customHeight="1" x14ac:dyDescent="0.25">
      <c r="A632" s="10"/>
      <c r="B632" s="83" t="s">
        <v>423</v>
      </c>
      <c r="C632" s="19"/>
      <c r="D632" s="19"/>
      <c r="E632" s="81">
        <f>E630</f>
        <v>15400</v>
      </c>
      <c r="F632" s="81">
        <f>F630</f>
        <v>15400</v>
      </c>
      <c r="G632" s="81">
        <f t="shared" si="32"/>
        <v>100</v>
      </c>
      <c r="H632" s="109"/>
      <c r="I632" s="108"/>
      <c r="J632" s="108"/>
      <c r="K632" s="53"/>
    </row>
    <row r="633" spans="1:11" ht="17.25" customHeight="1" x14ac:dyDescent="0.25">
      <c r="A633" s="541" t="s">
        <v>123</v>
      </c>
      <c r="B633" s="541"/>
      <c r="C633" s="541"/>
      <c r="D633" s="541"/>
      <c r="E633" s="541"/>
      <c r="F633" s="541"/>
      <c r="G633" s="541"/>
      <c r="H633" s="541"/>
      <c r="I633" s="541"/>
      <c r="J633" s="541"/>
      <c r="K633" s="541"/>
    </row>
    <row r="634" spans="1:11" s="38" customFormat="1" ht="100.5" customHeight="1" x14ac:dyDescent="0.25">
      <c r="A634" s="10">
        <v>206</v>
      </c>
      <c r="B634" s="18" t="s">
        <v>124</v>
      </c>
      <c r="C634" s="17" t="s">
        <v>14</v>
      </c>
      <c r="D634" s="17" t="s">
        <v>16</v>
      </c>
      <c r="E634" s="103">
        <v>500000</v>
      </c>
      <c r="F634" s="103">
        <v>902133.46</v>
      </c>
      <c r="G634" s="103">
        <f>F634/E634*100</f>
        <v>180.426692</v>
      </c>
      <c r="H634" s="27"/>
      <c r="I634" s="59"/>
      <c r="J634" s="64" t="s">
        <v>330</v>
      </c>
      <c r="K634" s="53"/>
    </row>
    <row r="635" spans="1:11" s="38" customFormat="1" ht="17.25" customHeight="1" x14ac:dyDescent="0.25">
      <c r="A635" s="10"/>
      <c r="B635" s="24" t="s">
        <v>426</v>
      </c>
      <c r="C635" s="17"/>
      <c r="D635" s="17"/>
      <c r="E635" s="103">
        <v>500000</v>
      </c>
      <c r="F635" s="103">
        <v>902133.46</v>
      </c>
      <c r="G635" s="103">
        <f t="shared" ref="G635:G643" si="33">F635/E635*100</f>
        <v>180.426692</v>
      </c>
      <c r="H635" s="27"/>
      <c r="I635" s="59"/>
      <c r="J635" s="64"/>
      <c r="K635" s="53"/>
    </row>
    <row r="636" spans="1:11" s="38" customFormat="1" ht="99.75" customHeight="1" x14ac:dyDescent="0.25">
      <c r="A636" s="10">
        <v>207</v>
      </c>
      <c r="B636" s="18" t="s">
        <v>125</v>
      </c>
      <c r="C636" s="17" t="s">
        <v>14</v>
      </c>
      <c r="D636" s="17" t="s">
        <v>16</v>
      </c>
      <c r="E636" s="103">
        <v>252000</v>
      </c>
      <c r="F636" s="103">
        <v>505274.85</v>
      </c>
      <c r="G636" s="103">
        <f t="shared" si="33"/>
        <v>200.50589285714287</v>
      </c>
      <c r="H636" s="27"/>
      <c r="I636" s="59"/>
      <c r="J636" s="64" t="s">
        <v>330</v>
      </c>
      <c r="K636" s="53"/>
    </row>
    <row r="637" spans="1:11" s="38" customFormat="1" ht="17.25" customHeight="1" x14ac:dyDescent="0.25">
      <c r="A637" s="10"/>
      <c r="B637" s="24" t="s">
        <v>426</v>
      </c>
      <c r="C637" s="17"/>
      <c r="D637" s="17"/>
      <c r="E637" s="103">
        <v>252000</v>
      </c>
      <c r="F637" s="103">
        <v>505274.85</v>
      </c>
      <c r="G637" s="103">
        <f t="shared" si="33"/>
        <v>200.50589285714287</v>
      </c>
      <c r="H637" s="27"/>
      <c r="I637" s="59"/>
      <c r="J637" s="64"/>
      <c r="K637" s="53"/>
    </row>
    <row r="638" spans="1:11" s="38" customFormat="1" ht="82.5" customHeight="1" x14ac:dyDescent="0.25">
      <c r="A638" s="10">
        <v>208</v>
      </c>
      <c r="B638" s="18" t="s">
        <v>126</v>
      </c>
      <c r="C638" s="17" t="s">
        <v>14</v>
      </c>
      <c r="D638" s="17" t="s">
        <v>16</v>
      </c>
      <c r="E638" s="103">
        <v>198300</v>
      </c>
      <c r="F638" s="103">
        <v>368483.44</v>
      </c>
      <c r="G638" s="103">
        <f t="shared" si="33"/>
        <v>185.82120020171459</v>
      </c>
      <c r="H638" s="27"/>
      <c r="I638" s="59"/>
      <c r="J638" s="64" t="s">
        <v>330</v>
      </c>
      <c r="K638" s="53"/>
    </row>
    <row r="639" spans="1:11" s="38" customFormat="1" ht="17.25" customHeight="1" x14ac:dyDescent="0.25">
      <c r="A639" s="10"/>
      <c r="B639" s="24" t="s">
        <v>426</v>
      </c>
      <c r="C639" s="17"/>
      <c r="D639" s="17"/>
      <c r="E639" s="103">
        <v>198300</v>
      </c>
      <c r="F639" s="103">
        <v>368483.44</v>
      </c>
      <c r="G639" s="103">
        <f t="shared" si="33"/>
        <v>185.82120020171459</v>
      </c>
      <c r="H639" s="27"/>
      <c r="I639" s="59"/>
      <c r="J639" s="64"/>
      <c r="K639" s="53"/>
    </row>
    <row r="640" spans="1:11" s="38" customFormat="1" ht="83.25" customHeight="1" x14ac:dyDescent="0.25">
      <c r="A640" s="10">
        <v>209</v>
      </c>
      <c r="B640" s="18" t="s">
        <v>126</v>
      </c>
      <c r="C640" s="17" t="s">
        <v>14</v>
      </c>
      <c r="D640" s="17" t="s">
        <v>16</v>
      </c>
      <c r="E640" s="103">
        <v>17700</v>
      </c>
      <c r="F640" s="103">
        <v>121721.2</v>
      </c>
      <c r="G640" s="103">
        <f t="shared" si="33"/>
        <v>687.69039548022602</v>
      </c>
      <c r="H640" s="27"/>
      <c r="I640" s="59"/>
      <c r="J640" s="64" t="s">
        <v>330</v>
      </c>
      <c r="K640" s="53"/>
    </row>
    <row r="641" spans="1:11" s="38" customFormat="1" ht="17.25" customHeight="1" x14ac:dyDescent="0.25">
      <c r="A641" s="10"/>
      <c r="B641" s="24" t="s">
        <v>426</v>
      </c>
      <c r="C641" s="17"/>
      <c r="D641" s="17"/>
      <c r="E641" s="103">
        <v>17700</v>
      </c>
      <c r="F641" s="103">
        <v>121721.2</v>
      </c>
      <c r="G641" s="103">
        <f t="shared" si="33"/>
        <v>687.69039548022602</v>
      </c>
      <c r="H641" s="27"/>
      <c r="I641" s="59"/>
      <c r="J641" s="104"/>
      <c r="K641" s="53"/>
    </row>
    <row r="642" spans="1:11" s="38" customFormat="1" ht="17.25" customHeight="1" x14ac:dyDescent="0.25">
      <c r="A642" s="10"/>
      <c r="B642" s="28" t="s">
        <v>54</v>
      </c>
      <c r="C642" s="17"/>
      <c r="D642" s="17"/>
      <c r="E642" s="105">
        <f>E634+E636+E638+E640</f>
        <v>968000</v>
      </c>
      <c r="F642" s="105">
        <f>F634+F636+F638+F640</f>
        <v>1897612.95</v>
      </c>
      <c r="G642" s="105">
        <f t="shared" si="33"/>
        <v>196.03439566115702</v>
      </c>
      <c r="H642" s="27"/>
      <c r="I642" s="59"/>
      <c r="J642" s="104"/>
      <c r="K642" s="53"/>
    </row>
    <row r="643" spans="1:11" s="38" customFormat="1" ht="17.25" customHeight="1" x14ac:dyDescent="0.25">
      <c r="A643" s="10"/>
      <c r="B643" s="24" t="s">
        <v>426</v>
      </c>
      <c r="C643" s="17"/>
      <c r="D643" s="17"/>
      <c r="E643" s="103">
        <f>E635+E637+E639+E641</f>
        <v>968000</v>
      </c>
      <c r="F643" s="103">
        <f>F635+F637+F639+F641</f>
        <v>1897612.95</v>
      </c>
      <c r="G643" s="103">
        <f t="shared" si="33"/>
        <v>196.03439566115702</v>
      </c>
      <c r="H643" s="27"/>
      <c r="I643" s="59"/>
      <c r="J643" s="104"/>
      <c r="K643" s="53"/>
    </row>
    <row r="644" spans="1:11" ht="17.25" customHeight="1" x14ac:dyDescent="0.25">
      <c r="A644" s="541" t="s">
        <v>127</v>
      </c>
      <c r="B644" s="541"/>
      <c r="C644" s="541"/>
      <c r="D644" s="541"/>
      <c r="E644" s="541"/>
      <c r="F644" s="541"/>
      <c r="G644" s="541"/>
      <c r="H644" s="541"/>
      <c r="I644" s="541"/>
      <c r="J644" s="541"/>
      <c r="K644" s="541"/>
    </row>
    <row r="645" spans="1:11" s="38" customFormat="1" ht="111.75" customHeight="1" x14ac:dyDescent="0.25">
      <c r="A645" s="10">
        <v>210</v>
      </c>
      <c r="B645" s="18" t="s">
        <v>128</v>
      </c>
      <c r="C645" s="17" t="s">
        <v>14</v>
      </c>
      <c r="D645" s="17">
        <v>2016</v>
      </c>
      <c r="E645" s="103">
        <v>5200</v>
      </c>
      <c r="F645" s="103">
        <v>5190</v>
      </c>
      <c r="G645" s="103">
        <f>F645/E645*100</f>
        <v>99.807692307692307</v>
      </c>
      <c r="H645" s="27">
        <v>100</v>
      </c>
      <c r="I645" s="104"/>
      <c r="J645" s="64" t="s">
        <v>330</v>
      </c>
      <c r="K645" s="53"/>
    </row>
    <row r="646" spans="1:11" s="38" customFormat="1" ht="17.25" customHeight="1" x14ac:dyDescent="0.25">
      <c r="A646" s="10"/>
      <c r="B646" s="24" t="s">
        <v>423</v>
      </c>
      <c r="C646" s="17"/>
      <c r="D646" s="17"/>
      <c r="E646" s="103">
        <v>5200</v>
      </c>
      <c r="F646" s="103">
        <v>5190</v>
      </c>
      <c r="G646" s="103">
        <f t="shared" ref="G646" si="34">F646/E646*100</f>
        <v>99.807692307692307</v>
      </c>
      <c r="H646" s="27"/>
      <c r="I646" s="104"/>
      <c r="J646" s="64"/>
      <c r="K646" s="53"/>
    </row>
    <row r="647" spans="1:11" s="38" customFormat="1" ht="159.75" customHeight="1" x14ac:dyDescent="0.25">
      <c r="A647" s="10">
        <v>211</v>
      </c>
      <c r="B647" s="64" t="s">
        <v>129</v>
      </c>
      <c r="C647" s="17" t="s">
        <v>14</v>
      </c>
      <c r="D647" s="17">
        <v>2016</v>
      </c>
      <c r="E647" s="103">
        <f>SUM(E648:E652)</f>
        <v>25000</v>
      </c>
      <c r="F647" s="103">
        <f>SUM(F648:F652)</f>
        <v>24950</v>
      </c>
      <c r="G647" s="103">
        <f>F647/E647*100</f>
        <v>99.8</v>
      </c>
      <c r="H647" s="27">
        <v>100</v>
      </c>
      <c r="I647" s="104"/>
      <c r="J647" s="64" t="s">
        <v>330</v>
      </c>
      <c r="K647" s="53"/>
    </row>
    <row r="648" spans="1:11" s="38" customFormat="1" ht="21.75" customHeight="1" x14ac:dyDescent="0.25">
      <c r="A648" s="10"/>
      <c r="B648" s="18" t="s">
        <v>130</v>
      </c>
      <c r="C648" s="17"/>
      <c r="D648" s="17"/>
      <c r="E648" s="103">
        <v>5000</v>
      </c>
      <c r="F648" s="103">
        <v>5000</v>
      </c>
      <c r="G648" s="103">
        <f t="shared" ref="G648:G669" si="35">F648/E648*100</f>
        <v>100</v>
      </c>
      <c r="H648" s="27">
        <v>100</v>
      </c>
      <c r="I648" s="104"/>
      <c r="J648" s="64"/>
      <c r="K648" s="53"/>
    </row>
    <row r="649" spans="1:11" s="38" customFormat="1" ht="26.25" customHeight="1" x14ac:dyDescent="0.25">
      <c r="A649" s="10"/>
      <c r="B649" s="18" t="s">
        <v>131</v>
      </c>
      <c r="C649" s="17"/>
      <c r="D649" s="17"/>
      <c r="E649" s="103">
        <v>5000</v>
      </c>
      <c r="F649" s="103">
        <v>5000</v>
      </c>
      <c r="G649" s="103">
        <f t="shared" si="35"/>
        <v>100</v>
      </c>
      <c r="H649" s="27">
        <v>100</v>
      </c>
      <c r="I649" s="104"/>
      <c r="J649" s="64"/>
      <c r="K649" s="53"/>
    </row>
    <row r="650" spans="1:11" s="38" customFormat="1" ht="26.25" customHeight="1" x14ac:dyDescent="0.25">
      <c r="A650" s="10"/>
      <c r="B650" s="18" t="s">
        <v>132</v>
      </c>
      <c r="C650" s="17"/>
      <c r="D650" s="17"/>
      <c r="E650" s="103">
        <v>5000</v>
      </c>
      <c r="F650" s="103">
        <v>5000</v>
      </c>
      <c r="G650" s="103">
        <f t="shared" si="35"/>
        <v>100</v>
      </c>
      <c r="H650" s="27">
        <v>100</v>
      </c>
      <c r="I650" s="104"/>
      <c r="J650" s="64"/>
      <c r="K650" s="53"/>
    </row>
    <row r="651" spans="1:11" s="38" customFormat="1" ht="22.5" customHeight="1" x14ac:dyDescent="0.25">
      <c r="A651" s="10"/>
      <c r="B651" s="18" t="s">
        <v>133</v>
      </c>
      <c r="C651" s="17"/>
      <c r="D651" s="17"/>
      <c r="E651" s="103">
        <v>5000</v>
      </c>
      <c r="F651" s="103">
        <v>4950</v>
      </c>
      <c r="G651" s="103">
        <f t="shared" si="35"/>
        <v>99</v>
      </c>
      <c r="H651" s="27">
        <v>100</v>
      </c>
      <c r="I651" s="104"/>
      <c r="J651" s="64"/>
      <c r="K651" s="53"/>
    </row>
    <row r="652" spans="1:11" s="38" customFormat="1" ht="16.5" customHeight="1" x14ac:dyDescent="0.25">
      <c r="A652" s="10"/>
      <c r="B652" s="18" t="s">
        <v>134</v>
      </c>
      <c r="C652" s="17"/>
      <c r="D652" s="17"/>
      <c r="E652" s="103">
        <v>5000</v>
      </c>
      <c r="F652" s="103">
        <v>5000</v>
      </c>
      <c r="G652" s="103">
        <f t="shared" si="35"/>
        <v>100</v>
      </c>
      <c r="H652" s="27">
        <v>100</v>
      </c>
      <c r="I652" s="104"/>
      <c r="J652" s="64"/>
      <c r="K652" s="53"/>
    </row>
    <row r="653" spans="1:11" s="38" customFormat="1" ht="17.25" customHeight="1" x14ac:dyDescent="0.25">
      <c r="A653" s="10"/>
      <c r="B653" s="24" t="s">
        <v>423</v>
      </c>
      <c r="C653" s="17"/>
      <c r="D653" s="17"/>
      <c r="E653" s="103">
        <f>E647</f>
        <v>25000</v>
      </c>
      <c r="F653" s="103">
        <f t="shared" ref="F653" si="36">F647</f>
        <v>24950</v>
      </c>
      <c r="G653" s="103">
        <f t="shared" si="35"/>
        <v>99.8</v>
      </c>
      <c r="H653" s="27"/>
      <c r="I653" s="104"/>
      <c r="J653" s="64"/>
      <c r="K653" s="53"/>
    </row>
    <row r="654" spans="1:11" s="38" customFormat="1" ht="72.75" customHeight="1" x14ac:dyDescent="0.25">
      <c r="A654" s="10">
        <v>212</v>
      </c>
      <c r="B654" s="18" t="s">
        <v>272</v>
      </c>
      <c r="C654" s="17" t="s">
        <v>14</v>
      </c>
      <c r="D654" s="17">
        <v>2016</v>
      </c>
      <c r="E654" s="103">
        <v>8100</v>
      </c>
      <c r="F654" s="103">
        <v>8010</v>
      </c>
      <c r="G654" s="103">
        <f t="shared" si="35"/>
        <v>98.888888888888886</v>
      </c>
      <c r="H654" s="27">
        <v>100</v>
      </c>
      <c r="I654" s="104"/>
      <c r="J654" s="64" t="s">
        <v>330</v>
      </c>
      <c r="K654" s="53"/>
    </row>
    <row r="655" spans="1:11" s="38" customFormat="1" ht="17.25" customHeight="1" x14ac:dyDescent="0.25">
      <c r="A655" s="10"/>
      <c r="B655" s="24" t="s">
        <v>423</v>
      </c>
      <c r="C655" s="17"/>
      <c r="D655" s="17"/>
      <c r="E655" s="103">
        <v>8100</v>
      </c>
      <c r="F655" s="103">
        <v>8010</v>
      </c>
      <c r="G655" s="103">
        <f t="shared" si="35"/>
        <v>98.888888888888886</v>
      </c>
      <c r="H655" s="27"/>
      <c r="I655" s="104"/>
      <c r="J655" s="64"/>
      <c r="K655" s="53"/>
    </row>
    <row r="656" spans="1:11" s="38" customFormat="1" ht="141" customHeight="1" x14ac:dyDescent="0.25">
      <c r="A656" s="10">
        <v>213</v>
      </c>
      <c r="B656" s="18" t="s">
        <v>135</v>
      </c>
      <c r="C656" s="17" t="s">
        <v>103</v>
      </c>
      <c r="D656" s="17">
        <v>2016</v>
      </c>
      <c r="E656" s="103">
        <v>2700</v>
      </c>
      <c r="F656" s="103">
        <v>2700</v>
      </c>
      <c r="G656" s="103">
        <f t="shared" si="35"/>
        <v>100</v>
      </c>
      <c r="H656" s="27"/>
      <c r="I656" s="104"/>
      <c r="J656" s="64" t="s">
        <v>330</v>
      </c>
      <c r="K656" s="53"/>
    </row>
    <row r="657" spans="1:11" s="38" customFormat="1" ht="17.25" customHeight="1" x14ac:dyDescent="0.25">
      <c r="A657" s="10"/>
      <c r="B657" s="24" t="s">
        <v>423</v>
      </c>
      <c r="C657" s="17"/>
      <c r="D657" s="17"/>
      <c r="E657" s="103">
        <v>2700</v>
      </c>
      <c r="F657" s="103">
        <v>2700</v>
      </c>
      <c r="G657" s="103">
        <f t="shared" si="35"/>
        <v>100</v>
      </c>
      <c r="H657" s="27"/>
      <c r="I657" s="104"/>
      <c r="J657" s="64"/>
      <c r="K657" s="53"/>
    </row>
    <row r="658" spans="1:11" s="38" customFormat="1" ht="151.5" customHeight="1" x14ac:dyDescent="0.25">
      <c r="A658" s="10">
        <v>214</v>
      </c>
      <c r="B658" s="18" t="s">
        <v>273</v>
      </c>
      <c r="C658" s="17" t="s">
        <v>92</v>
      </c>
      <c r="D658" s="17">
        <v>2016</v>
      </c>
      <c r="E658" s="103">
        <v>2700</v>
      </c>
      <c r="F658" s="103">
        <v>2700</v>
      </c>
      <c r="G658" s="103">
        <f t="shared" si="35"/>
        <v>100</v>
      </c>
      <c r="H658" s="27"/>
      <c r="I658" s="104"/>
      <c r="J658" s="64" t="s">
        <v>330</v>
      </c>
      <c r="K658" s="53"/>
    </row>
    <row r="659" spans="1:11" s="38" customFormat="1" ht="17.25" customHeight="1" x14ac:dyDescent="0.25">
      <c r="A659" s="10"/>
      <c r="B659" s="24" t="s">
        <v>423</v>
      </c>
      <c r="C659" s="17"/>
      <c r="D659" s="17"/>
      <c r="E659" s="103">
        <v>2700</v>
      </c>
      <c r="F659" s="103">
        <v>2700</v>
      </c>
      <c r="G659" s="103">
        <f t="shared" si="35"/>
        <v>100</v>
      </c>
      <c r="H659" s="27"/>
      <c r="I659" s="104"/>
      <c r="J659" s="64"/>
      <c r="K659" s="53"/>
    </row>
    <row r="660" spans="1:11" s="38" customFormat="1" ht="153.75" customHeight="1" x14ac:dyDescent="0.25">
      <c r="A660" s="10">
        <v>215</v>
      </c>
      <c r="B660" s="64" t="s">
        <v>136</v>
      </c>
      <c r="C660" s="17" t="s">
        <v>50</v>
      </c>
      <c r="D660" s="17">
        <v>2016</v>
      </c>
      <c r="E660" s="103">
        <f>E661+E662</f>
        <v>8088.6</v>
      </c>
      <c r="F660" s="103">
        <f>F661+F662</f>
        <v>8088.6</v>
      </c>
      <c r="G660" s="103">
        <f t="shared" si="35"/>
        <v>100</v>
      </c>
      <c r="H660" s="27">
        <v>100</v>
      </c>
      <c r="I660" s="104"/>
      <c r="J660" s="64" t="s">
        <v>330</v>
      </c>
      <c r="K660" s="53"/>
    </row>
    <row r="661" spans="1:11" s="38" customFormat="1" ht="22.5" customHeight="1" x14ac:dyDescent="0.25">
      <c r="A661" s="10"/>
      <c r="B661" s="18" t="s">
        <v>137</v>
      </c>
      <c r="C661" s="17"/>
      <c r="D661" s="17"/>
      <c r="E661" s="103">
        <v>2700</v>
      </c>
      <c r="F661" s="103">
        <v>2700</v>
      </c>
      <c r="G661" s="103">
        <f t="shared" si="35"/>
        <v>100</v>
      </c>
      <c r="H661" s="27"/>
      <c r="I661" s="104"/>
      <c r="J661" s="104"/>
      <c r="K661" s="53"/>
    </row>
    <row r="662" spans="1:11" s="38" customFormat="1" ht="68.25" customHeight="1" x14ac:dyDescent="0.25">
      <c r="A662" s="10"/>
      <c r="B662" s="18" t="s">
        <v>138</v>
      </c>
      <c r="C662" s="110"/>
      <c r="D662" s="110"/>
      <c r="E662" s="103">
        <v>5388.6</v>
      </c>
      <c r="F662" s="103">
        <v>5388.6</v>
      </c>
      <c r="G662" s="103">
        <f t="shared" si="35"/>
        <v>100</v>
      </c>
      <c r="H662" s="111"/>
      <c r="I662" s="112"/>
      <c r="J662" s="112"/>
      <c r="K662" s="53"/>
    </row>
    <row r="663" spans="1:11" s="38" customFormat="1" ht="17.25" customHeight="1" x14ac:dyDescent="0.25">
      <c r="A663" s="10"/>
      <c r="B663" s="24" t="s">
        <v>423</v>
      </c>
      <c r="C663" s="110"/>
      <c r="D663" s="110"/>
      <c r="E663" s="103">
        <f>E660</f>
        <v>8088.6</v>
      </c>
      <c r="F663" s="103">
        <v>8088.6</v>
      </c>
      <c r="G663" s="103">
        <f t="shared" si="35"/>
        <v>100</v>
      </c>
      <c r="H663" s="111"/>
      <c r="I663" s="112"/>
      <c r="J663" s="112"/>
      <c r="K663" s="53"/>
    </row>
    <row r="664" spans="1:11" s="38" customFormat="1" ht="17.25" customHeight="1" x14ac:dyDescent="0.25">
      <c r="A664" s="10"/>
      <c r="B664" s="28" t="s">
        <v>54</v>
      </c>
      <c r="C664" s="113"/>
      <c r="D664" s="113"/>
      <c r="E664" s="103">
        <f>E645+E647+E654+E656+E658+E660</f>
        <v>51788.6</v>
      </c>
      <c r="F664" s="103">
        <f>F645+F647+F654+F656+F658+F660</f>
        <v>51638.6</v>
      </c>
      <c r="G664" s="103">
        <f t="shared" si="35"/>
        <v>99.710360967471601</v>
      </c>
      <c r="H664" s="114"/>
      <c r="I664" s="115"/>
      <c r="J664" s="115"/>
      <c r="K664" s="53"/>
    </row>
    <row r="665" spans="1:11" s="38" customFormat="1" ht="17.25" customHeight="1" x14ac:dyDescent="0.25">
      <c r="A665" s="10"/>
      <c r="B665" s="24" t="s">
        <v>423</v>
      </c>
      <c r="C665" s="113"/>
      <c r="D665" s="113"/>
      <c r="E665" s="103">
        <f>E646+E653+E655+E657+E659+E663</f>
        <v>51788.6</v>
      </c>
      <c r="F665" s="103">
        <f>F646+F653+F655+F657+F659+F663</f>
        <v>51638.6</v>
      </c>
      <c r="G665" s="103">
        <f t="shared" si="35"/>
        <v>99.710360967471601</v>
      </c>
      <c r="H665" s="114"/>
      <c r="I665" s="115"/>
      <c r="J665" s="115"/>
      <c r="K665" s="53"/>
    </row>
    <row r="666" spans="1:11" ht="17.25" customHeight="1" x14ac:dyDescent="0.25">
      <c r="A666" s="10"/>
      <c r="B666" s="31" t="s">
        <v>73</v>
      </c>
      <c r="C666" s="113"/>
      <c r="D666" s="113"/>
      <c r="E666" s="34">
        <f>E667+E668+E669</f>
        <v>1837735.2999999998</v>
      </c>
      <c r="F666" s="34">
        <f>F667+F668+F669</f>
        <v>2605518.19</v>
      </c>
      <c r="G666" s="105">
        <f t="shared" si="35"/>
        <v>141.77875290309765</v>
      </c>
      <c r="H666" s="114"/>
      <c r="I666" s="115"/>
      <c r="J666" s="116"/>
      <c r="K666" s="14"/>
    </row>
    <row r="667" spans="1:11" ht="17.25" customHeight="1" x14ac:dyDescent="0.25">
      <c r="A667" s="10"/>
      <c r="B667" s="32" t="s">
        <v>13</v>
      </c>
      <c r="C667" s="113"/>
      <c r="D667" s="113"/>
      <c r="E667" s="33">
        <f>E528+E542+E551+E563+E574+E579+E586+E591+E610+E627+E632+E665</f>
        <v>853235.29999999993</v>
      </c>
      <c r="F667" s="33">
        <f>F528+F542+F551+F563+F574+F579+F586+F591+F610+F627+F632+F665</f>
        <v>691405.24</v>
      </c>
      <c r="G667" s="103">
        <f t="shared" si="35"/>
        <v>81.033360902906864</v>
      </c>
      <c r="H667" s="114"/>
      <c r="I667" s="115"/>
      <c r="J667" s="115"/>
      <c r="K667" s="14"/>
    </row>
    <row r="668" spans="1:11" ht="19.5" customHeight="1" x14ac:dyDescent="0.25">
      <c r="A668" s="10"/>
      <c r="B668" s="32" t="s">
        <v>144</v>
      </c>
      <c r="C668" s="113"/>
      <c r="D668" s="113"/>
      <c r="E668" s="33">
        <f>E643</f>
        <v>968000</v>
      </c>
      <c r="F668" s="33">
        <f>F643</f>
        <v>1897612.95</v>
      </c>
      <c r="G668" s="103">
        <f t="shared" si="35"/>
        <v>196.03439566115702</v>
      </c>
      <c r="H668" s="114"/>
      <c r="I668" s="115"/>
      <c r="J668" s="115"/>
      <c r="K668" s="14"/>
    </row>
    <row r="669" spans="1:11" ht="39.75" customHeight="1" x14ac:dyDescent="0.25">
      <c r="A669" s="10"/>
      <c r="B669" s="79" t="s">
        <v>139</v>
      </c>
      <c r="C669" s="113"/>
      <c r="D669" s="113"/>
      <c r="E669" s="33">
        <f>E529+E611</f>
        <v>16500</v>
      </c>
      <c r="F669" s="33">
        <f>F529+F611</f>
        <v>16500</v>
      </c>
      <c r="G669" s="103">
        <f t="shared" si="35"/>
        <v>100</v>
      </c>
      <c r="H669" s="114"/>
      <c r="I669" s="115"/>
      <c r="J669" s="115"/>
      <c r="K669" s="14"/>
    </row>
    <row r="670" spans="1:11" ht="17.25" customHeight="1" x14ac:dyDescent="0.25">
      <c r="A670" s="10"/>
      <c r="B670" s="32"/>
      <c r="C670" s="12"/>
      <c r="D670" s="12"/>
      <c r="E670" s="12"/>
      <c r="F670" s="12"/>
      <c r="G670" s="12"/>
      <c r="H670" s="13"/>
      <c r="I670" s="14"/>
      <c r="J670" s="14"/>
      <c r="K670" s="14"/>
    </row>
    <row r="671" spans="1:11" ht="23.25" customHeight="1" x14ac:dyDescent="0.25">
      <c r="A671" s="542" t="s">
        <v>427</v>
      </c>
      <c r="B671" s="542"/>
      <c r="C671" s="542"/>
      <c r="D671" s="542"/>
      <c r="E671" s="542"/>
      <c r="F671" s="542"/>
      <c r="G671" s="542"/>
      <c r="H671" s="542"/>
      <c r="I671" s="542"/>
      <c r="J671" s="542"/>
      <c r="K671" s="542"/>
    </row>
    <row r="672" spans="1:11" ht="100.5" customHeight="1" x14ac:dyDescent="0.25">
      <c r="A672" s="10">
        <v>216</v>
      </c>
      <c r="B672" s="18" t="s">
        <v>40</v>
      </c>
      <c r="C672" s="17" t="s">
        <v>14</v>
      </c>
      <c r="D672" s="17" t="s">
        <v>16</v>
      </c>
      <c r="E672" s="20">
        <v>3671882.7</v>
      </c>
      <c r="F672" s="33">
        <v>3131959.13</v>
      </c>
      <c r="G672" s="20">
        <f t="shared" ref="G672:G693" si="37">F672/E672*100</f>
        <v>85.295729354317331</v>
      </c>
      <c r="H672" s="54">
        <v>100</v>
      </c>
      <c r="I672" s="14"/>
      <c r="J672" s="23" t="s">
        <v>330</v>
      </c>
      <c r="K672" s="14"/>
    </row>
    <row r="673" spans="1:11" ht="17.25" customHeight="1" x14ac:dyDescent="0.25">
      <c r="A673" s="10"/>
      <c r="B673" s="24" t="s">
        <v>13</v>
      </c>
      <c r="C673" s="12"/>
      <c r="D673" s="12"/>
      <c r="E673" s="20">
        <v>3671882.7</v>
      </c>
      <c r="F673" s="33">
        <v>3131959.13</v>
      </c>
      <c r="G673" s="117">
        <f t="shared" si="37"/>
        <v>85.295729354317331</v>
      </c>
      <c r="H673" s="13"/>
      <c r="I673" s="14"/>
      <c r="J673" s="14"/>
      <c r="K673" s="14"/>
    </row>
    <row r="674" spans="1:11" ht="118.5" customHeight="1" x14ac:dyDescent="0.25">
      <c r="A674" s="10">
        <v>217</v>
      </c>
      <c r="B674" s="18" t="s">
        <v>428</v>
      </c>
      <c r="C674" s="17" t="s">
        <v>14</v>
      </c>
      <c r="D674" s="17" t="s">
        <v>16</v>
      </c>
      <c r="E674" s="20">
        <v>213540.4</v>
      </c>
      <c r="F674" s="33">
        <v>207065</v>
      </c>
      <c r="G674" s="20">
        <f t="shared" si="37"/>
        <v>96.967599573663804</v>
      </c>
      <c r="H674" s="54">
        <v>100</v>
      </c>
      <c r="I674" s="14"/>
      <c r="J674" s="23" t="s">
        <v>330</v>
      </c>
      <c r="K674" s="14"/>
    </row>
    <row r="675" spans="1:11" ht="17.25" customHeight="1" x14ac:dyDescent="0.25">
      <c r="A675" s="10"/>
      <c r="B675" s="24" t="s">
        <v>13</v>
      </c>
      <c r="C675" s="12"/>
      <c r="D675" s="12"/>
      <c r="E675" s="20">
        <v>213540.4</v>
      </c>
      <c r="F675" s="33">
        <v>207065</v>
      </c>
      <c r="G675" s="117">
        <f t="shared" si="37"/>
        <v>96.967599573663804</v>
      </c>
      <c r="H675" s="13"/>
      <c r="I675" s="14"/>
      <c r="J675" s="14"/>
      <c r="K675" s="14"/>
    </row>
    <row r="676" spans="1:11" ht="88.5" customHeight="1" x14ac:dyDescent="0.25">
      <c r="A676" s="10">
        <v>218</v>
      </c>
      <c r="B676" s="18" t="s">
        <v>41</v>
      </c>
      <c r="C676" s="17" t="s">
        <v>14</v>
      </c>
      <c r="D676" s="17" t="s">
        <v>16</v>
      </c>
      <c r="E676" s="20">
        <v>123770.3</v>
      </c>
      <c r="F676" s="33">
        <v>70701.55</v>
      </c>
      <c r="G676" s="20">
        <f t="shared" si="37"/>
        <v>57.12319514455406</v>
      </c>
      <c r="H676" s="54">
        <v>100</v>
      </c>
      <c r="I676" s="14"/>
      <c r="J676" s="23" t="s">
        <v>330</v>
      </c>
      <c r="K676" s="14"/>
    </row>
    <row r="677" spans="1:11" ht="17.25" customHeight="1" x14ac:dyDescent="0.25">
      <c r="A677" s="10"/>
      <c r="B677" s="24" t="s">
        <v>13</v>
      </c>
      <c r="C677" s="12"/>
      <c r="D677" s="12"/>
      <c r="E677" s="20">
        <v>123770.3</v>
      </c>
      <c r="F677" s="33">
        <v>70701.55</v>
      </c>
      <c r="G677" s="117">
        <f t="shared" si="37"/>
        <v>57.12319514455406</v>
      </c>
      <c r="H677" s="13"/>
      <c r="I677" s="14"/>
      <c r="J677" s="14"/>
      <c r="K677" s="14"/>
    </row>
    <row r="678" spans="1:11" ht="51.75" customHeight="1" x14ac:dyDescent="0.25">
      <c r="A678" s="10">
        <v>219</v>
      </c>
      <c r="B678" s="18" t="s">
        <v>42</v>
      </c>
      <c r="C678" s="17" t="s">
        <v>14</v>
      </c>
      <c r="D678" s="17" t="s">
        <v>16</v>
      </c>
      <c r="E678" s="20">
        <v>9922</v>
      </c>
      <c r="F678" s="33">
        <v>8577.52</v>
      </c>
      <c r="G678" s="20">
        <f t="shared" si="37"/>
        <v>86.449506147954054</v>
      </c>
      <c r="H678" s="54">
        <v>100</v>
      </c>
      <c r="I678" s="14"/>
      <c r="J678" s="23" t="s">
        <v>330</v>
      </c>
      <c r="K678" s="14"/>
    </row>
    <row r="679" spans="1:11" ht="17.25" customHeight="1" x14ac:dyDescent="0.25">
      <c r="A679" s="10"/>
      <c r="B679" s="24" t="s">
        <v>13</v>
      </c>
      <c r="C679" s="12"/>
      <c r="D679" s="12"/>
      <c r="E679" s="20">
        <v>9922</v>
      </c>
      <c r="F679" s="33">
        <v>8577.52</v>
      </c>
      <c r="G679" s="117">
        <f t="shared" si="37"/>
        <v>86.449506147954054</v>
      </c>
      <c r="H679" s="13"/>
      <c r="I679" s="14"/>
      <c r="J679" s="14"/>
      <c r="K679" s="14"/>
    </row>
    <row r="680" spans="1:11" ht="100.5" customHeight="1" x14ac:dyDescent="0.25">
      <c r="A680" s="10">
        <v>220</v>
      </c>
      <c r="B680" s="18" t="s">
        <v>429</v>
      </c>
      <c r="C680" s="17" t="s">
        <v>149</v>
      </c>
      <c r="D680" s="12"/>
      <c r="E680" s="20">
        <v>246000</v>
      </c>
      <c r="F680" s="33">
        <v>157597.95000000001</v>
      </c>
      <c r="G680" s="20">
        <f t="shared" si="37"/>
        <v>64.064207317073169</v>
      </c>
      <c r="H680" s="13"/>
      <c r="I680" s="14"/>
      <c r="J680" s="37" t="s">
        <v>380</v>
      </c>
      <c r="K680" s="14"/>
    </row>
    <row r="681" spans="1:11" ht="21" customHeight="1" x14ac:dyDescent="0.25">
      <c r="A681" s="10"/>
      <c r="B681" s="24" t="s">
        <v>13</v>
      </c>
      <c r="C681" s="12"/>
      <c r="D681" s="12"/>
      <c r="E681" s="20">
        <v>246000</v>
      </c>
      <c r="F681" s="33">
        <v>157597.95000000001</v>
      </c>
      <c r="G681" s="20">
        <f t="shared" si="37"/>
        <v>64.064207317073169</v>
      </c>
      <c r="H681" s="13"/>
      <c r="I681" s="14"/>
      <c r="J681" s="14"/>
      <c r="K681" s="14"/>
    </row>
    <row r="682" spans="1:11" ht="84.75" customHeight="1" x14ac:dyDescent="0.25">
      <c r="A682" s="10">
        <v>221</v>
      </c>
      <c r="B682" s="18" t="s">
        <v>43</v>
      </c>
      <c r="C682" s="17" t="s">
        <v>26</v>
      </c>
      <c r="D682" s="17" t="s">
        <v>16</v>
      </c>
      <c r="E682" s="118">
        <f>E684+E685+E686+E687+E688+E689+E690</f>
        <v>15556666</v>
      </c>
      <c r="F682" s="33">
        <f>F684+F685+F686+F687+F688+F689+F690</f>
        <v>14921595.100000001</v>
      </c>
      <c r="G682" s="20">
        <f>F682/E682*100</f>
        <v>95.917692775560013</v>
      </c>
      <c r="H682" s="13"/>
      <c r="I682" s="14"/>
      <c r="J682" s="23" t="s">
        <v>430</v>
      </c>
      <c r="K682" s="14"/>
    </row>
    <row r="683" spans="1:11" ht="15" customHeight="1" x14ac:dyDescent="0.25">
      <c r="A683" s="10"/>
      <c r="B683" s="24" t="s">
        <v>27</v>
      </c>
      <c r="C683" s="12"/>
      <c r="D683" s="12"/>
      <c r="E683" s="12"/>
      <c r="F683" s="33"/>
      <c r="G683" s="117"/>
      <c r="H683" s="13"/>
      <c r="I683" s="14"/>
      <c r="J683" s="14"/>
      <c r="K683" s="14"/>
    </row>
    <row r="684" spans="1:11" ht="20.25" customHeight="1" x14ac:dyDescent="0.25">
      <c r="A684" s="10"/>
      <c r="B684" s="119" t="s">
        <v>28</v>
      </c>
      <c r="C684" s="12"/>
      <c r="D684" s="12"/>
      <c r="E684" s="118">
        <v>1174405.6000000001</v>
      </c>
      <c r="F684" s="33">
        <v>1035628.4</v>
      </c>
      <c r="G684" s="20">
        <f t="shared" si="37"/>
        <v>88.183196674130286</v>
      </c>
      <c r="H684" s="13"/>
      <c r="I684" s="14"/>
      <c r="J684" s="14"/>
      <c r="K684" s="14"/>
    </row>
    <row r="685" spans="1:11" ht="16.5" customHeight="1" x14ac:dyDescent="0.25">
      <c r="A685" s="10"/>
      <c r="B685" s="119" t="s">
        <v>29</v>
      </c>
      <c r="C685" s="12"/>
      <c r="D685" s="12"/>
      <c r="E685" s="118">
        <v>585562.1</v>
      </c>
      <c r="F685" s="33">
        <v>531558.40000000002</v>
      </c>
      <c r="G685" s="20">
        <f t="shared" si="37"/>
        <v>90.777459811692054</v>
      </c>
      <c r="H685" s="13"/>
      <c r="I685" s="14"/>
      <c r="J685" s="14"/>
      <c r="K685" s="14"/>
    </row>
    <row r="686" spans="1:11" ht="15.75" customHeight="1" x14ac:dyDescent="0.25">
      <c r="A686" s="10"/>
      <c r="B686" s="119" t="s">
        <v>30</v>
      </c>
      <c r="C686" s="12"/>
      <c r="D686" s="12"/>
      <c r="E686" s="118">
        <v>2390317.6</v>
      </c>
      <c r="F686" s="33">
        <v>1831070.7</v>
      </c>
      <c r="G686" s="20">
        <f t="shared" si="37"/>
        <v>76.603657187647357</v>
      </c>
      <c r="H686" s="13"/>
      <c r="I686" s="14"/>
      <c r="J686" s="14"/>
      <c r="K686" s="14"/>
    </row>
    <row r="687" spans="1:11" ht="18" customHeight="1" x14ac:dyDescent="0.25">
      <c r="A687" s="10"/>
      <c r="B687" s="119" t="s">
        <v>31</v>
      </c>
      <c r="C687" s="12"/>
      <c r="D687" s="12"/>
      <c r="E687" s="118">
        <v>1402856.9</v>
      </c>
      <c r="F687" s="33">
        <v>1198585.3999999999</v>
      </c>
      <c r="G687" s="20">
        <f t="shared" si="37"/>
        <v>85.438892591254316</v>
      </c>
      <c r="H687" s="13"/>
      <c r="I687" s="14"/>
      <c r="J687" s="14"/>
      <c r="K687" s="14"/>
    </row>
    <row r="688" spans="1:11" ht="22.5" customHeight="1" x14ac:dyDescent="0.25">
      <c r="A688" s="10"/>
      <c r="B688" s="119" t="s">
        <v>32</v>
      </c>
      <c r="C688" s="12"/>
      <c r="D688" s="12"/>
      <c r="E688" s="118">
        <v>1678671.7</v>
      </c>
      <c r="F688" s="33">
        <v>1629200.1</v>
      </c>
      <c r="G688" s="20">
        <f t="shared" si="37"/>
        <v>97.052931791249009</v>
      </c>
      <c r="H688" s="13"/>
      <c r="I688" s="14"/>
      <c r="J688" s="14"/>
      <c r="K688" s="14"/>
    </row>
    <row r="689" spans="1:11" ht="21" customHeight="1" x14ac:dyDescent="0.25">
      <c r="A689" s="10"/>
      <c r="B689" s="119" t="s">
        <v>33</v>
      </c>
      <c r="C689" s="12"/>
      <c r="D689" s="12"/>
      <c r="E689" s="118">
        <v>336155.9</v>
      </c>
      <c r="F689" s="33">
        <v>356510.7</v>
      </c>
      <c r="G689" s="20">
        <f t="shared" si="37"/>
        <v>106.05516666522882</v>
      </c>
      <c r="H689" s="13"/>
      <c r="I689" s="14"/>
      <c r="J689" s="14"/>
      <c r="K689" s="14"/>
    </row>
    <row r="690" spans="1:11" ht="21.75" customHeight="1" x14ac:dyDescent="0.25">
      <c r="A690" s="10"/>
      <c r="B690" s="119" t="s">
        <v>34</v>
      </c>
      <c r="C690" s="12"/>
      <c r="D690" s="12"/>
      <c r="E690" s="118">
        <v>7988696.2000000002</v>
      </c>
      <c r="F690" s="33">
        <v>8339041.4000000004</v>
      </c>
      <c r="G690" s="20">
        <f t="shared" si="37"/>
        <v>104.38551161827885</v>
      </c>
      <c r="H690" s="13"/>
      <c r="I690" s="14"/>
      <c r="J690" s="14"/>
      <c r="K690" s="14"/>
    </row>
    <row r="691" spans="1:11" ht="19.5" customHeight="1" x14ac:dyDescent="0.25">
      <c r="A691" s="10"/>
      <c r="B691" s="28" t="s">
        <v>431</v>
      </c>
      <c r="C691" s="12"/>
      <c r="D691" s="12"/>
      <c r="E691" s="120">
        <f>E692+E693</f>
        <v>19821781.399999999</v>
      </c>
      <c r="F691" s="33">
        <f>F692+F693</f>
        <v>18497496.25</v>
      </c>
      <c r="G691" s="29">
        <f t="shared" si="37"/>
        <v>93.31904068924905</v>
      </c>
      <c r="H691" s="13"/>
      <c r="I691" s="14"/>
      <c r="J691" s="14"/>
      <c r="K691" s="14"/>
    </row>
    <row r="692" spans="1:11" ht="18" customHeight="1" x14ac:dyDescent="0.25">
      <c r="A692" s="10"/>
      <c r="B692" s="24" t="s">
        <v>13</v>
      </c>
      <c r="C692" s="12"/>
      <c r="D692" s="12"/>
      <c r="E692" s="121">
        <f>E673+E675+E677+E679+E681</f>
        <v>4265115.4000000004</v>
      </c>
      <c r="F692" s="33">
        <f>F673+F675+F677+F679+F681</f>
        <v>3575901.15</v>
      </c>
      <c r="G692" s="20">
        <f t="shared" si="37"/>
        <v>83.8406658352081</v>
      </c>
      <c r="H692" s="13"/>
      <c r="I692" s="14"/>
      <c r="J692" s="14"/>
      <c r="K692" s="14"/>
    </row>
    <row r="693" spans="1:11" ht="19.5" customHeight="1" x14ac:dyDescent="0.25">
      <c r="A693" s="10"/>
      <c r="B693" s="24" t="s">
        <v>22</v>
      </c>
      <c r="C693" s="12"/>
      <c r="D693" s="12"/>
      <c r="E693" s="121">
        <f>E684+E685+E686+E687+E688+E689+E690</f>
        <v>15556666</v>
      </c>
      <c r="F693" s="33">
        <f>F684+F685+F686+F687+F688+F689+F690</f>
        <v>14921595.100000001</v>
      </c>
      <c r="G693" s="20">
        <f t="shared" si="37"/>
        <v>95.917692775560013</v>
      </c>
      <c r="H693" s="13"/>
      <c r="I693" s="14"/>
      <c r="J693" s="14"/>
      <c r="K693" s="14"/>
    </row>
    <row r="694" spans="1:11" ht="19.5" customHeight="1" x14ac:dyDescent="0.25">
      <c r="A694" s="10"/>
      <c r="B694" s="24"/>
      <c r="C694" s="12"/>
      <c r="D694" s="12"/>
      <c r="E694" s="121"/>
      <c r="F694" s="121"/>
      <c r="G694" s="117"/>
      <c r="H694" s="13"/>
      <c r="I694" s="14"/>
      <c r="J694" s="14"/>
      <c r="K694" s="14"/>
    </row>
    <row r="695" spans="1:11" ht="19.5" customHeight="1" x14ac:dyDescent="0.25">
      <c r="A695" s="10"/>
      <c r="B695" s="31" t="s">
        <v>263</v>
      </c>
      <c r="C695" s="12"/>
      <c r="D695" s="12"/>
      <c r="E695" s="122">
        <f>E696+E697+E698+E699</f>
        <v>55849193</v>
      </c>
      <c r="F695" s="49">
        <f>F696+F697+F698+F699</f>
        <v>58727421.149999999</v>
      </c>
      <c r="G695" s="29">
        <f t="shared" ref="G695:G699" si="38">F695/E695*100</f>
        <v>105.15357160129422</v>
      </c>
      <c r="H695" s="13"/>
      <c r="I695" s="123"/>
      <c r="J695" s="123"/>
      <c r="K695" s="116"/>
    </row>
    <row r="696" spans="1:11" ht="19.5" customHeight="1" x14ac:dyDescent="0.25">
      <c r="A696" s="10"/>
      <c r="B696" s="32" t="s">
        <v>13</v>
      </c>
      <c r="C696" s="12"/>
      <c r="D696" s="12"/>
      <c r="E696" s="121">
        <f>E40+E107+E154+E511+E667+E692</f>
        <v>35312037</v>
      </c>
      <c r="F696" s="45">
        <f>F40+F107+F154+F511+F667+F692</f>
        <v>29782541.829999998</v>
      </c>
      <c r="G696" s="20">
        <f t="shared" si="38"/>
        <v>84.341047303501625</v>
      </c>
      <c r="H696" s="13"/>
      <c r="I696" s="14"/>
      <c r="J696" s="14"/>
      <c r="K696" s="14"/>
    </row>
    <row r="697" spans="1:11" ht="19.5" customHeight="1" x14ac:dyDescent="0.25">
      <c r="A697" s="10"/>
      <c r="B697" s="32" t="s">
        <v>22</v>
      </c>
      <c r="C697" s="12"/>
      <c r="D697" s="12"/>
      <c r="E697" s="121">
        <f>E693+E512+E155</f>
        <v>16519456</v>
      </c>
      <c r="F697" s="45">
        <f>F693+F512+F155</f>
        <v>15687624.670000002</v>
      </c>
      <c r="G697" s="20">
        <f t="shared" si="38"/>
        <v>94.96453557550565</v>
      </c>
      <c r="H697" s="13"/>
      <c r="I697" s="14"/>
      <c r="J697" s="14"/>
      <c r="K697" s="14"/>
    </row>
    <row r="698" spans="1:11" ht="19.5" customHeight="1" x14ac:dyDescent="0.25">
      <c r="A698" s="10"/>
      <c r="B698" s="32" t="s">
        <v>144</v>
      </c>
      <c r="C698" s="12"/>
      <c r="D698" s="12"/>
      <c r="E698" s="45">
        <f>E41+E108+E156+E513+E668</f>
        <v>3944200</v>
      </c>
      <c r="F698" s="45">
        <f>F41+F108+F156+F513+F668</f>
        <v>12028224.399999999</v>
      </c>
      <c r="G698" s="20">
        <f t="shared" si="38"/>
        <v>304.95979919882353</v>
      </c>
      <c r="H698" s="13"/>
      <c r="I698" s="14"/>
      <c r="J698" s="14"/>
      <c r="K698" s="14"/>
    </row>
    <row r="699" spans="1:11" ht="35.25" customHeight="1" x14ac:dyDescent="0.25">
      <c r="A699" s="10"/>
      <c r="B699" s="79" t="s">
        <v>139</v>
      </c>
      <c r="C699" s="12"/>
      <c r="D699" s="12"/>
      <c r="E699" s="121">
        <f>E669+E514</f>
        <v>73500</v>
      </c>
      <c r="F699" s="45">
        <f>F669+F514</f>
        <v>1229030.25</v>
      </c>
      <c r="G699" s="20">
        <f t="shared" si="38"/>
        <v>1672.1499999999999</v>
      </c>
      <c r="H699" s="13"/>
      <c r="I699" s="14"/>
      <c r="J699" s="14"/>
      <c r="K699" s="14"/>
    </row>
    <row r="700" spans="1:11" ht="19.5" customHeight="1" x14ac:dyDescent="0.25">
      <c r="A700" s="10"/>
      <c r="B700" s="24"/>
      <c r="C700" s="12"/>
      <c r="D700" s="12"/>
      <c r="E700" s="121"/>
      <c r="F700" s="121"/>
      <c r="G700" s="117"/>
      <c r="H700" s="13"/>
      <c r="I700" s="14"/>
      <c r="J700" s="14"/>
      <c r="K700" s="14"/>
    </row>
    <row r="701" spans="1:11" ht="19.5" customHeight="1" x14ac:dyDescent="0.25">
      <c r="A701" s="10"/>
      <c r="B701" s="24"/>
      <c r="C701" s="12"/>
      <c r="D701" s="12"/>
      <c r="E701" s="121"/>
      <c r="G701" s="117"/>
      <c r="H701" s="13"/>
      <c r="I701" s="14"/>
      <c r="J701" s="14"/>
      <c r="K701" s="14"/>
    </row>
    <row r="702" spans="1:11" x14ac:dyDescent="0.25">
      <c r="A702" s="124"/>
      <c r="H702" s="125"/>
      <c r="I702" s="126"/>
      <c r="J702" s="126"/>
      <c r="K702" s="126"/>
    </row>
    <row r="703" spans="1:11" x14ac:dyDescent="0.25">
      <c r="A703" s="124"/>
      <c r="H703" s="125"/>
      <c r="I703" s="126"/>
      <c r="J703" s="126"/>
      <c r="K703" s="126"/>
    </row>
    <row r="704" spans="1:11" x14ac:dyDescent="0.25">
      <c r="A704" s="124"/>
      <c r="H704" s="125"/>
      <c r="I704" s="126"/>
      <c r="J704" s="126"/>
      <c r="K704" s="126"/>
    </row>
    <row r="705" spans="1:11" x14ac:dyDescent="0.25">
      <c r="A705" s="124"/>
      <c r="H705" s="125"/>
      <c r="I705" s="126"/>
      <c r="J705" s="126"/>
      <c r="K705" s="126"/>
    </row>
    <row r="706" spans="1:11" x14ac:dyDescent="0.25">
      <c r="A706" s="124"/>
      <c r="H706" s="125"/>
      <c r="I706" s="126"/>
      <c r="J706" s="126"/>
      <c r="K706" s="126"/>
    </row>
    <row r="707" spans="1:11" x14ac:dyDescent="0.25">
      <c r="A707" s="124"/>
      <c r="H707" s="125"/>
      <c r="I707" s="127"/>
      <c r="J707" s="127"/>
      <c r="K707" s="127"/>
    </row>
    <row r="708" spans="1:11" x14ac:dyDescent="0.25">
      <c r="H708" s="125"/>
      <c r="I708" s="128"/>
      <c r="J708" s="128"/>
      <c r="K708" s="128"/>
    </row>
  </sheetData>
  <mergeCells count="49">
    <mergeCell ref="A44:K44"/>
    <mergeCell ref="J2:K2"/>
    <mergeCell ref="A3:K3"/>
    <mergeCell ref="A5:A6"/>
    <mergeCell ref="B5:B6"/>
    <mergeCell ref="C5:C6"/>
    <mergeCell ref="D5:D6"/>
    <mergeCell ref="E5:G5"/>
    <mergeCell ref="H5:H6"/>
    <mergeCell ref="I5:I6"/>
    <mergeCell ref="J5:J6"/>
    <mergeCell ref="K5:K6"/>
    <mergeCell ref="A7:K7"/>
    <mergeCell ref="A8:K8"/>
    <mergeCell ref="A22:K22"/>
    <mergeCell ref="A43:K43"/>
    <mergeCell ref="A131:K131"/>
    <mergeCell ref="A51:K51"/>
    <mergeCell ref="A56:K56"/>
    <mergeCell ref="A61:K61"/>
    <mergeCell ref="A66:K66"/>
    <mergeCell ref="A75:K75"/>
    <mergeCell ref="A92:K92"/>
    <mergeCell ref="A97:K97"/>
    <mergeCell ref="A110:K110"/>
    <mergeCell ref="A111:K111"/>
    <mergeCell ref="A121:K121"/>
    <mergeCell ref="A126:K126"/>
    <mergeCell ref="A564:K564"/>
    <mergeCell ref="A136:K136"/>
    <mergeCell ref="A141:K141"/>
    <mergeCell ref="A146:K146"/>
    <mergeCell ref="B157:K157"/>
    <mergeCell ref="A158:K158"/>
    <mergeCell ref="A334:K334"/>
    <mergeCell ref="A516:K516"/>
    <mergeCell ref="A517:K517"/>
    <mergeCell ref="B530:K530"/>
    <mergeCell ref="A543:K543"/>
    <mergeCell ref="A553:K553"/>
    <mergeCell ref="A633:K633"/>
    <mergeCell ref="A644:K644"/>
    <mergeCell ref="A671:K671"/>
    <mergeCell ref="A575:K575"/>
    <mergeCell ref="A580:K580"/>
    <mergeCell ref="A587:K587"/>
    <mergeCell ref="A592:K592"/>
    <mergeCell ref="A613:K613"/>
    <mergeCell ref="A628:K6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6"/>
  <sheetViews>
    <sheetView topLeftCell="A740" zoomScale="110" zoomScaleNormal="110" workbookViewId="0">
      <selection activeCell="F241" sqref="F241"/>
    </sheetView>
  </sheetViews>
  <sheetFormatPr defaultRowHeight="15.75" x14ac:dyDescent="0.25"/>
  <cols>
    <col min="1" max="1" width="7" style="1" customWidth="1"/>
    <col min="2" max="2" width="46.85546875" style="2" customWidth="1"/>
    <col min="3" max="3" width="22.140625" style="3" customWidth="1"/>
    <col min="4" max="4" width="12.85546875" style="3" customWidth="1"/>
    <col min="5" max="5" width="18" style="3" customWidth="1"/>
    <col min="6" max="6" width="16.140625" style="3" customWidth="1"/>
    <col min="7" max="7" width="9.28515625" style="3" customWidth="1"/>
    <col min="8" max="8" width="16.7109375" style="4" customWidth="1"/>
    <col min="9" max="9" width="32.28515625" customWidth="1"/>
    <col min="10" max="10" width="24.5703125" customWidth="1"/>
    <col min="11" max="11" width="32.28515625" customWidth="1"/>
    <col min="12" max="12" width="24.28515625" customWidth="1"/>
  </cols>
  <sheetData>
    <row r="1" spans="1:11" x14ac:dyDescent="0.25">
      <c r="K1" s="5" t="s">
        <v>0</v>
      </c>
    </row>
    <row r="2" spans="1:11" ht="91.5" customHeight="1" x14ac:dyDescent="0.25">
      <c r="B2" s="6"/>
      <c r="F2" s="7"/>
      <c r="G2" s="7"/>
      <c r="H2" s="8"/>
      <c r="I2" s="9"/>
      <c r="J2" s="543" t="s">
        <v>325</v>
      </c>
      <c r="K2" s="544"/>
    </row>
    <row r="3" spans="1:11" ht="41.25" customHeight="1" x14ac:dyDescent="0.25">
      <c r="A3" s="545" t="s">
        <v>10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</row>
    <row r="4" spans="1:11" ht="9" customHeight="1" x14ac:dyDescent="0.25">
      <c r="A4" s="10"/>
      <c r="B4" s="11"/>
      <c r="C4" s="12"/>
      <c r="D4" s="12"/>
      <c r="E4" s="12"/>
      <c r="F4" s="12"/>
      <c r="G4" s="12"/>
      <c r="H4" s="13"/>
      <c r="I4" s="14"/>
      <c r="J4" s="14"/>
      <c r="K4" s="14"/>
    </row>
    <row r="5" spans="1:11" ht="66" customHeight="1" x14ac:dyDescent="0.25">
      <c r="A5" s="546" t="s">
        <v>2</v>
      </c>
      <c r="B5" s="547" t="s">
        <v>1</v>
      </c>
      <c r="C5" s="546" t="s">
        <v>3</v>
      </c>
      <c r="D5" s="546" t="s">
        <v>4</v>
      </c>
      <c r="E5" s="546" t="s">
        <v>326</v>
      </c>
      <c r="F5" s="546"/>
      <c r="G5" s="546"/>
      <c r="H5" s="549" t="s">
        <v>8</v>
      </c>
      <c r="I5" s="546" t="s">
        <v>9</v>
      </c>
      <c r="J5" s="546" t="s">
        <v>327</v>
      </c>
      <c r="K5" s="546" t="s">
        <v>328</v>
      </c>
    </row>
    <row r="6" spans="1:11" ht="33" customHeight="1" x14ac:dyDescent="0.25">
      <c r="A6" s="546"/>
      <c r="B6" s="548"/>
      <c r="C6" s="546"/>
      <c r="D6" s="546"/>
      <c r="E6" s="15" t="s">
        <v>5</v>
      </c>
      <c r="F6" s="15" t="s">
        <v>6</v>
      </c>
      <c r="G6" s="15" t="s">
        <v>7</v>
      </c>
      <c r="H6" s="549"/>
      <c r="I6" s="546"/>
      <c r="J6" s="546"/>
      <c r="K6" s="546"/>
    </row>
    <row r="7" spans="1:11" ht="21.75" customHeight="1" x14ac:dyDescent="0.25">
      <c r="A7" s="542" t="s">
        <v>303</v>
      </c>
      <c r="B7" s="542"/>
      <c r="C7" s="542"/>
      <c r="D7" s="542"/>
      <c r="E7" s="542"/>
      <c r="F7" s="542"/>
      <c r="G7" s="542"/>
      <c r="H7" s="542"/>
      <c r="I7" s="542"/>
      <c r="J7" s="542"/>
      <c r="K7" s="542"/>
    </row>
    <row r="8" spans="1:11" ht="21.75" customHeight="1" x14ac:dyDescent="0.25">
      <c r="A8" s="541" t="s">
        <v>11</v>
      </c>
      <c r="B8" s="541"/>
      <c r="C8" s="541"/>
      <c r="D8" s="541"/>
      <c r="E8" s="541"/>
      <c r="F8" s="541"/>
      <c r="G8" s="541"/>
      <c r="H8" s="541"/>
      <c r="I8" s="541"/>
      <c r="J8" s="541"/>
      <c r="K8" s="541"/>
    </row>
    <row r="9" spans="1:11" ht="66" customHeight="1" x14ac:dyDescent="0.25">
      <c r="A9" s="17">
        <v>1</v>
      </c>
      <c r="B9" s="18" t="s">
        <v>270</v>
      </c>
      <c r="C9" s="17" t="s">
        <v>140</v>
      </c>
      <c r="D9" s="19" t="s">
        <v>16</v>
      </c>
      <c r="E9" s="33">
        <f>E10+E11</f>
        <v>16974593</v>
      </c>
      <c r="F9" s="33">
        <f>F10+F11</f>
        <v>3756754.58</v>
      </c>
      <c r="G9" s="20">
        <f t="shared" ref="G9:G26" si="0">F9/E9*100</f>
        <v>22.131632728985021</v>
      </c>
      <c r="H9" s="21">
        <v>100</v>
      </c>
      <c r="I9" s="23"/>
      <c r="J9" s="23" t="s">
        <v>351</v>
      </c>
      <c r="K9" s="22"/>
    </row>
    <row r="10" spans="1:11" s="263" customFormat="1" ht="21.75" customHeight="1" x14ac:dyDescent="0.25">
      <c r="A10" s="22"/>
      <c r="B10" s="24" t="s">
        <v>13</v>
      </c>
      <c r="C10" s="22"/>
      <c r="D10" s="22"/>
      <c r="E10" s="35">
        <v>5927998</v>
      </c>
      <c r="F10" s="35">
        <v>3671770.58</v>
      </c>
      <c r="G10" s="117">
        <f t="shared" si="0"/>
        <v>61.939470627351767</v>
      </c>
      <c r="H10" s="25"/>
      <c r="I10" s="22"/>
      <c r="J10" s="22"/>
      <c r="K10" s="22"/>
    </row>
    <row r="11" spans="1:11" s="263" customFormat="1" ht="18.75" customHeight="1" x14ac:dyDescent="0.25">
      <c r="A11" s="22"/>
      <c r="B11" s="26" t="s">
        <v>19</v>
      </c>
      <c r="C11" s="22"/>
      <c r="D11" s="22"/>
      <c r="E11" s="35">
        <v>11046595</v>
      </c>
      <c r="F11" s="35">
        <v>84984</v>
      </c>
      <c r="G11" s="117">
        <f t="shared" si="0"/>
        <v>0.76932303574087757</v>
      </c>
      <c r="H11" s="25"/>
      <c r="I11" s="22"/>
      <c r="J11" s="22"/>
      <c r="K11" s="22"/>
    </row>
    <row r="12" spans="1:11" ht="18.75" customHeight="1" x14ac:dyDescent="0.25">
      <c r="A12" s="17"/>
      <c r="B12" s="264" t="s">
        <v>155</v>
      </c>
      <c r="C12" s="22"/>
      <c r="D12" s="22"/>
      <c r="E12" s="33"/>
      <c r="F12" s="33"/>
      <c r="G12" s="20"/>
      <c r="H12" s="25"/>
      <c r="I12" s="22"/>
      <c r="J12" s="22"/>
      <c r="K12" s="22"/>
    </row>
    <row r="13" spans="1:11" ht="63.75" customHeight="1" x14ac:dyDescent="0.25">
      <c r="A13" s="17"/>
      <c r="B13" s="18" t="s">
        <v>279</v>
      </c>
      <c r="C13" s="17" t="s">
        <v>143</v>
      </c>
      <c r="D13" s="19" t="s">
        <v>280</v>
      </c>
      <c r="E13" s="33">
        <v>85093</v>
      </c>
      <c r="F13" s="33">
        <v>68803.61</v>
      </c>
      <c r="G13" s="20">
        <f t="shared" si="0"/>
        <v>80.85695650641064</v>
      </c>
      <c r="H13" s="25"/>
      <c r="I13" s="22"/>
      <c r="J13" s="23" t="s">
        <v>351</v>
      </c>
      <c r="K13" s="22"/>
    </row>
    <row r="14" spans="1:11" s="263" customFormat="1" ht="21.75" customHeight="1" x14ac:dyDescent="0.25">
      <c r="A14" s="22"/>
      <c r="B14" s="24" t="s">
        <v>13</v>
      </c>
      <c r="C14" s="22"/>
      <c r="D14" s="265"/>
      <c r="E14" s="35">
        <v>85093</v>
      </c>
      <c r="F14" s="35">
        <v>68803.61</v>
      </c>
      <c r="G14" s="117">
        <f t="shared" si="0"/>
        <v>80.85695650641064</v>
      </c>
      <c r="H14" s="25"/>
      <c r="I14" s="22"/>
      <c r="J14" s="266"/>
      <c r="K14" s="22"/>
    </row>
    <row r="15" spans="1:11" ht="117.75" customHeight="1" x14ac:dyDescent="0.25">
      <c r="A15" s="17"/>
      <c r="B15" s="18" t="s">
        <v>281</v>
      </c>
      <c r="C15" s="17" t="s">
        <v>143</v>
      </c>
      <c r="D15" s="19" t="s">
        <v>280</v>
      </c>
      <c r="E15" s="33">
        <f>E16+E17</f>
        <v>242584</v>
      </c>
      <c r="F15" s="33">
        <f>F16+F17</f>
        <v>242584</v>
      </c>
      <c r="G15" s="20">
        <f t="shared" si="0"/>
        <v>100</v>
      </c>
      <c r="H15" s="25"/>
      <c r="I15" s="22"/>
      <c r="J15" s="23" t="s">
        <v>351</v>
      </c>
      <c r="K15" s="22"/>
    </row>
    <row r="16" spans="1:11" s="263" customFormat="1" ht="18.75" customHeight="1" x14ac:dyDescent="0.25">
      <c r="A16" s="22"/>
      <c r="B16" s="24" t="s">
        <v>13</v>
      </c>
      <c r="C16" s="22"/>
      <c r="D16" s="22"/>
      <c r="E16" s="35">
        <v>157600</v>
      </c>
      <c r="F16" s="35">
        <v>157600</v>
      </c>
      <c r="G16" s="117">
        <f t="shared" si="0"/>
        <v>100</v>
      </c>
      <c r="H16" s="25"/>
      <c r="I16" s="22"/>
      <c r="J16" s="22"/>
      <c r="K16" s="22"/>
    </row>
    <row r="17" spans="1:11" s="263" customFormat="1" ht="18.75" customHeight="1" x14ac:dyDescent="0.25">
      <c r="A17" s="22"/>
      <c r="B17" s="26" t="s">
        <v>19</v>
      </c>
      <c r="C17" s="22"/>
      <c r="D17" s="22"/>
      <c r="E17" s="35">
        <v>84984</v>
      </c>
      <c r="F17" s="35">
        <v>84984</v>
      </c>
      <c r="G17" s="117">
        <f t="shared" si="0"/>
        <v>100</v>
      </c>
      <c r="H17" s="25"/>
      <c r="I17" s="22"/>
      <c r="J17" s="22"/>
      <c r="K17" s="22"/>
    </row>
    <row r="18" spans="1:11" ht="116.25" customHeight="1" x14ac:dyDescent="0.25">
      <c r="A18" s="17">
        <v>2</v>
      </c>
      <c r="B18" s="18" t="s">
        <v>269</v>
      </c>
      <c r="C18" s="17" t="s">
        <v>141</v>
      </c>
      <c r="D18" s="19" t="s">
        <v>16</v>
      </c>
      <c r="E18" s="33">
        <f>E19+E20</f>
        <v>3496130</v>
      </c>
      <c r="F18" s="33">
        <f>F19+F20</f>
        <v>1131636.05</v>
      </c>
      <c r="G18" s="20">
        <f t="shared" si="0"/>
        <v>32.368248606316129</v>
      </c>
      <c r="H18" s="27">
        <v>100</v>
      </c>
      <c r="I18" s="18"/>
      <c r="J18" s="23" t="s">
        <v>351</v>
      </c>
      <c r="K18" s="18"/>
    </row>
    <row r="19" spans="1:11" s="263" customFormat="1" ht="17.25" customHeight="1" x14ac:dyDescent="0.25">
      <c r="A19" s="22"/>
      <c r="B19" s="24" t="s">
        <v>13</v>
      </c>
      <c r="C19" s="22"/>
      <c r="D19" s="22"/>
      <c r="E19" s="35">
        <v>341130</v>
      </c>
      <c r="F19" s="35">
        <v>239939.27</v>
      </c>
      <c r="G19" s="117">
        <f t="shared" si="0"/>
        <v>70.336607744847996</v>
      </c>
      <c r="H19" s="25"/>
      <c r="I19" s="22"/>
      <c r="J19" s="22"/>
      <c r="K19" s="22"/>
    </row>
    <row r="20" spans="1:11" s="263" customFormat="1" ht="19.5" customHeight="1" x14ac:dyDescent="0.25">
      <c r="A20" s="22"/>
      <c r="B20" s="26" t="s">
        <v>19</v>
      </c>
      <c r="C20" s="22"/>
      <c r="D20" s="22"/>
      <c r="E20" s="35">
        <v>3155000</v>
      </c>
      <c r="F20" s="35">
        <v>891696.78</v>
      </c>
      <c r="G20" s="117">
        <f t="shared" si="0"/>
        <v>28.262972424722665</v>
      </c>
      <c r="H20" s="25"/>
      <c r="I20" s="22"/>
      <c r="J20" s="22"/>
      <c r="K20" s="22"/>
    </row>
    <row r="21" spans="1:11" ht="72" customHeight="1" x14ac:dyDescent="0.25">
      <c r="A21" s="17">
        <v>3</v>
      </c>
      <c r="B21" s="18" t="s">
        <v>268</v>
      </c>
      <c r="C21" s="17" t="s">
        <v>140</v>
      </c>
      <c r="D21" s="19" t="s">
        <v>16</v>
      </c>
      <c r="E21" s="33">
        <f>E22+E23</f>
        <v>2181800</v>
      </c>
      <c r="F21" s="33">
        <f>F22+F23</f>
        <v>1444715.91</v>
      </c>
      <c r="G21" s="20">
        <f t="shared" si="0"/>
        <v>66.216697680814008</v>
      </c>
      <c r="H21" s="27">
        <v>100</v>
      </c>
      <c r="I21" s="22"/>
      <c r="J21" s="23" t="s">
        <v>351</v>
      </c>
      <c r="K21" s="22"/>
    </row>
    <row r="22" spans="1:11" s="263" customFormat="1" ht="18" customHeight="1" x14ac:dyDescent="0.25">
      <c r="A22" s="22"/>
      <c r="B22" s="24" t="s">
        <v>13</v>
      </c>
      <c r="C22" s="22"/>
      <c r="D22" s="22"/>
      <c r="E22" s="35">
        <v>305000</v>
      </c>
      <c r="F22" s="35">
        <v>305000</v>
      </c>
      <c r="G22" s="117">
        <f t="shared" si="0"/>
        <v>100</v>
      </c>
      <c r="H22" s="25"/>
      <c r="I22" s="22"/>
      <c r="J22" s="22"/>
      <c r="K22" s="22"/>
    </row>
    <row r="23" spans="1:11" s="263" customFormat="1" ht="16.5" customHeight="1" x14ac:dyDescent="0.25">
      <c r="A23" s="22"/>
      <c r="B23" s="26" t="s">
        <v>19</v>
      </c>
      <c r="C23" s="22"/>
      <c r="D23" s="22"/>
      <c r="E23" s="35">
        <v>1876800</v>
      </c>
      <c r="F23" s="35">
        <v>1139715.9099999999</v>
      </c>
      <c r="G23" s="117">
        <f t="shared" si="0"/>
        <v>60.726551044330769</v>
      </c>
      <c r="H23" s="25"/>
      <c r="I23" s="22"/>
      <c r="J23" s="22"/>
      <c r="K23" s="22"/>
    </row>
    <row r="24" spans="1:11" ht="16.5" customHeight="1" x14ac:dyDescent="0.25">
      <c r="A24" s="17"/>
      <c r="B24" s="264" t="s">
        <v>155</v>
      </c>
      <c r="C24" s="22"/>
      <c r="D24" s="22"/>
      <c r="E24" s="20"/>
      <c r="F24" s="20"/>
      <c r="G24" s="20"/>
      <c r="H24" s="25"/>
      <c r="I24" s="22"/>
      <c r="J24" s="22"/>
      <c r="K24" s="22"/>
    </row>
    <row r="25" spans="1:11" ht="51" customHeight="1" x14ac:dyDescent="0.25">
      <c r="A25" s="17"/>
      <c r="B25" s="18" t="s">
        <v>282</v>
      </c>
      <c r="C25" s="17" t="s">
        <v>143</v>
      </c>
      <c r="D25" s="19" t="s">
        <v>280</v>
      </c>
      <c r="E25" s="33">
        <f>E26</f>
        <v>305000</v>
      </c>
      <c r="F25" s="33">
        <f>F26</f>
        <v>305000</v>
      </c>
      <c r="G25" s="20">
        <f t="shared" si="0"/>
        <v>100</v>
      </c>
      <c r="H25" s="25"/>
      <c r="I25" s="22"/>
      <c r="J25" s="23" t="s">
        <v>351</v>
      </c>
      <c r="K25" s="22"/>
    </row>
    <row r="26" spans="1:11" s="263" customFormat="1" ht="16.5" customHeight="1" x14ac:dyDescent="0.25">
      <c r="A26" s="22"/>
      <c r="B26" s="24" t="s">
        <v>13</v>
      </c>
      <c r="C26" s="22"/>
      <c r="D26" s="22"/>
      <c r="E26" s="35">
        <v>305000</v>
      </c>
      <c r="F26" s="35">
        <v>305000</v>
      </c>
      <c r="G26" s="117">
        <f t="shared" si="0"/>
        <v>100</v>
      </c>
      <c r="H26" s="25"/>
      <c r="I26" s="22"/>
      <c r="J26" s="22"/>
      <c r="K26" s="22"/>
    </row>
    <row r="27" spans="1:11" ht="16.5" customHeight="1" x14ac:dyDescent="0.25">
      <c r="A27" s="17"/>
      <c r="B27" s="26"/>
      <c r="C27" s="22"/>
      <c r="D27" s="22"/>
      <c r="E27" s="33"/>
      <c r="F27" s="103"/>
      <c r="G27" s="20"/>
      <c r="H27" s="25"/>
      <c r="I27" s="22"/>
      <c r="J27" s="22"/>
      <c r="K27" s="22"/>
    </row>
    <row r="28" spans="1:11" ht="18.75" customHeight="1" x14ac:dyDescent="0.25">
      <c r="A28" s="17"/>
      <c r="B28" s="28" t="s">
        <v>54</v>
      </c>
      <c r="C28" s="22"/>
      <c r="D28" s="22"/>
      <c r="E28" s="34">
        <f>E29+E30</f>
        <v>22652523</v>
      </c>
      <c r="F28" s="34">
        <f>F29+F30</f>
        <v>6333106.5399999991</v>
      </c>
      <c r="G28" s="29">
        <f t="shared" ref="G28:G29" si="1">F28/E28*100</f>
        <v>27.957621056162264</v>
      </c>
      <c r="H28" s="25"/>
      <c r="I28" s="22"/>
      <c r="J28" s="22"/>
      <c r="K28" s="22"/>
    </row>
    <row r="29" spans="1:11" s="263" customFormat="1" ht="20.25" customHeight="1" x14ac:dyDescent="0.25">
      <c r="A29" s="22"/>
      <c r="B29" s="24" t="s">
        <v>13</v>
      </c>
      <c r="C29" s="22"/>
      <c r="D29" s="22"/>
      <c r="E29" s="35">
        <f>E22+E19+E10</f>
        <v>6574128</v>
      </c>
      <c r="F29" s="35">
        <f>F22+F19+F10</f>
        <v>4216709.8499999996</v>
      </c>
      <c r="G29" s="117">
        <f t="shared" si="1"/>
        <v>64.140975806981544</v>
      </c>
      <c r="H29" s="25"/>
      <c r="I29" s="22"/>
      <c r="J29" s="22"/>
      <c r="K29" s="22"/>
    </row>
    <row r="30" spans="1:11" s="263" customFormat="1" ht="18" customHeight="1" x14ac:dyDescent="0.25">
      <c r="A30" s="22"/>
      <c r="B30" s="26" t="s">
        <v>19</v>
      </c>
      <c r="C30" s="22"/>
      <c r="D30" s="22"/>
      <c r="E30" s="35">
        <f>E23+E20+E11</f>
        <v>16078395</v>
      </c>
      <c r="F30" s="35">
        <f>F23+F20+F11</f>
        <v>2116396.69</v>
      </c>
      <c r="G30" s="117">
        <f>F30/E30*100</f>
        <v>13.162984800410737</v>
      </c>
      <c r="H30" s="25"/>
      <c r="I30" s="22"/>
      <c r="J30" s="22"/>
      <c r="K30" s="22"/>
    </row>
    <row r="31" spans="1:11" ht="9" customHeight="1" x14ac:dyDescent="0.25">
      <c r="A31" s="17"/>
      <c r="B31" s="26"/>
      <c r="C31" s="22"/>
      <c r="D31" s="22"/>
      <c r="E31" s="30"/>
      <c r="F31" s="22"/>
      <c r="G31" s="22"/>
      <c r="H31" s="25"/>
      <c r="I31" s="22"/>
      <c r="J31" s="22"/>
      <c r="K31" s="22"/>
    </row>
    <row r="32" spans="1:11" ht="21.75" customHeight="1" x14ac:dyDescent="0.25">
      <c r="A32" s="541" t="s">
        <v>142</v>
      </c>
      <c r="B32" s="541"/>
      <c r="C32" s="541"/>
      <c r="D32" s="541"/>
      <c r="E32" s="541"/>
      <c r="F32" s="541"/>
      <c r="G32" s="541"/>
      <c r="H32" s="541"/>
      <c r="I32" s="541"/>
      <c r="J32" s="541"/>
      <c r="K32" s="541"/>
    </row>
    <row r="33" spans="1:11" ht="269.25" customHeight="1" x14ac:dyDescent="0.25">
      <c r="A33" s="17">
        <v>4</v>
      </c>
      <c r="B33" s="18" t="s">
        <v>289</v>
      </c>
      <c r="C33" s="17" t="s">
        <v>143</v>
      </c>
      <c r="D33" s="19" t="s">
        <v>16</v>
      </c>
      <c r="E33" s="33">
        <f>E34+E35</f>
        <v>377210</v>
      </c>
      <c r="F33" s="33">
        <f>F34+F35</f>
        <v>353760</v>
      </c>
      <c r="G33" s="20">
        <f t="shared" ref="G33:G55" si="2">F33/E33*100</f>
        <v>93.783303730017764</v>
      </c>
      <c r="H33" s="27">
        <v>100</v>
      </c>
      <c r="I33" s="22"/>
      <c r="J33" s="23" t="s">
        <v>351</v>
      </c>
      <c r="K33" s="22"/>
    </row>
    <row r="34" spans="1:11" s="263" customFormat="1" ht="17.25" customHeight="1" x14ac:dyDescent="0.25">
      <c r="A34" s="22"/>
      <c r="B34" s="24" t="s">
        <v>13</v>
      </c>
      <c r="C34" s="22"/>
      <c r="D34" s="22"/>
      <c r="E34" s="35">
        <v>353760</v>
      </c>
      <c r="F34" s="35">
        <v>353760</v>
      </c>
      <c r="G34" s="117">
        <f t="shared" si="2"/>
        <v>100</v>
      </c>
      <c r="H34" s="25"/>
      <c r="I34" s="22"/>
      <c r="J34" s="22"/>
      <c r="K34" s="22"/>
    </row>
    <row r="35" spans="1:11" s="263" customFormat="1" ht="17.25" customHeight="1" x14ac:dyDescent="0.25">
      <c r="A35" s="22"/>
      <c r="B35" s="26" t="s">
        <v>19</v>
      </c>
      <c r="C35" s="22"/>
      <c r="D35" s="22"/>
      <c r="E35" s="35">
        <v>23450</v>
      </c>
      <c r="F35" s="35">
        <v>0</v>
      </c>
      <c r="G35" s="117"/>
      <c r="H35" s="25"/>
      <c r="I35" s="22"/>
      <c r="J35" s="22"/>
      <c r="K35" s="22"/>
    </row>
    <row r="36" spans="1:11" ht="17.25" customHeight="1" x14ac:dyDescent="0.25">
      <c r="A36" s="17"/>
      <c r="B36" s="48" t="s">
        <v>519</v>
      </c>
      <c r="C36" s="22"/>
      <c r="D36" s="22"/>
      <c r="E36" s="20"/>
      <c r="F36" s="20"/>
      <c r="G36" s="20"/>
      <c r="H36" s="27"/>
      <c r="I36" s="22"/>
      <c r="J36" s="22"/>
      <c r="K36" s="22"/>
    </row>
    <row r="37" spans="1:11" ht="111.75" customHeight="1" x14ac:dyDescent="0.25">
      <c r="A37" s="17"/>
      <c r="B37" s="18" t="s">
        <v>520</v>
      </c>
      <c r="C37" s="22"/>
      <c r="D37" s="22"/>
      <c r="E37" s="33">
        <f>E38+E39</f>
        <v>73450</v>
      </c>
      <c r="F37" s="33">
        <f>F38+F39</f>
        <v>50000</v>
      </c>
      <c r="G37" s="20">
        <f t="shared" si="2"/>
        <v>68.073519400953032</v>
      </c>
      <c r="H37" s="27"/>
      <c r="I37" s="22"/>
      <c r="J37" s="23" t="s">
        <v>380</v>
      </c>
      <c r="K37" s="22"/>
    </row>
    <row r="38" spans="1:11" s="263" customFormat="1" ht="18.75" customHeight="1" x14ac:dyDescent="0.25">
      <c r="A38" s="22"/>
      <c r="B38" s="24" t="s">
        <v>13</v>
      </c>
      <c r="C38" s="22"/>
      <c r="D38" s="22"/>
      <c r="E38" s="35">
        <v>50000</v>
      </c>
      <c r="F38" s="35">
        <v>50000</v>
      </c>
      <c r="G38" s="117">
        <f t="shared" si="2"/>
        <v>100</v>
      </c>
      <c r="H38" s="25"/>
      <c r="I38" s="22"/>
      <c r="J38" s="22"/>
      <c r="K38" s="22"/>
    </row>
    <row r="39" spans="1:11" s="263" customFormat="1" ht="16.5" customHeight="1" x14ac:dyDescent="0.25">
      <c r="A39" s="22"/>
      <c r="B39" s="26" t="s">
        <v>19</v>
      </c>
      <c r="C39" s="22"/>
      <c r="D39" s="22"/>
      <c r="E39" s="35">
        <v>23450</v>
      </c>
      <c r="F39" s="35">
        <v>0</v>
      </c>
      <c r="G39" s="117"/>
      <c r="H39" s="25"/>
      <c r="I39" s="22"/>
      <c r="J39" s="22"/>
      <c r="K39" s="22"/>
    </row>
    <row r="40" spans="1:11" ht="209.25" customHeight="1" x14ac:dyDescent="0.25">
      <c r="A40" s="17">
        <v>5</v>
      </c>
      <c r="B40" s="18" t="s">
        <v>267</v>
      </c>
      <c r="C40" s="17" t="s">
        <v>143</v>
      </c>
      <c r="D40" s="19" t="s">
        <v>16</v>
      </c>
      <c r="E40" s="33">
        <f>E41</f>
        <v>1178820</v>
      </c>
      <c r="F40" s="33">
        <f>F41</f>
        <v>1178820</v>
      </c>
      <c r="G40" s="20">
        <f t="shared" si="2"/>
        <v>100</v>
      </c>
      <c r="H40" s="27">
        <v>100</v>
      </c>
      <c r="I40" s="23"/>
      <c r="J40" s="23" t="s">
        <v>351</v>
      </c>
      <c r="K40" s="22"/>
    </row>
    <row r="41" spans="1:11" s="263" customFormat="1" ht="18" customHeight="1" x14ac:dyDescent="0.25">
      <c r="A41" s="22"/>
      <c r="B41" s="24" t="s">
        <v>13</v>
      </c>
      <c r="C41" s="22"/>
      <c r="D41" s="22"/>
      <c r="E41" s="35">
        <v>1178820</v>
      </c>
      <c r="F41" s="35">
        <v>1178820</v>
      </c>
      <c r="G41" s="117">
        <f t="shared" si="2"/>
        <v>100</v>
      </c>
      <c r="H41" s="25"/>
      <c r="I41" s="22"/>
      <c r="J41" s="22"/>
      <c r="K41" s="22"/>
    </row>
    <row r="42" spans="1:11" ht="148.5" customHeight="1" x14ac:dyDescent="0.25">
      <c r="A42" s="17">
        <v>6</v>
      </c>
      <c r="B42" s="18" t="s">
        <v>283</v>
      </c>
      <c r="C42" s="17" t="s">
        <v>143</v>
      </c>
      <c r="D42" s="19" t="s">
        <v>16</v>
      </c>
      <c r="E42" s="33">
        <f>E43</f>
        <v>2197640</v>
      </c>
      <c r="F42" s="33">
        <f>F43</f>
        <v>1526698.47</v>
      </c>
      <c r="G42" s="20">
        <f t="shared" si="2"/>
        <v>69.469907264156092</v>
      </c>
      <c r="H42" s="27">
        <v>100</v>
      </c>
      <c r="I42" s="22"/>
      <c r="J42" s="23" t="s">
        <v>351</v>
      </c>
      <c r="K42" s="22"/>
    </row>
    <row r="43" spans="1:11" s="263" customFormat="1" ht="18" customHeight="1" x14ac:dyDescent="0.25">
      <c r="A43" s="22"/>
      <c r="B43" s="24" t="s">
        <v>13</v>
      </c>
      <c r="C43" s="22"/>
      <c r="D43" s="22"/>
      <c r="E43" s="35">
        <v>2197640</v>
      </c>
      <c r="F43" s="35">
        <v>1526698.47</v>
      </c>
      <c r="G43" s="117">
        <f t="shared" si="2"/>
        <v>69.469907264156092</v>
      </c>
      <c r="H43" s="25"/>
      <c r="I43" s="22"/>
      <c r="J43" s="22"/>
      <c r="K43" s="22"/>
    </row>
    <row r="44" spans="1:11" ht="144.75" customHeight="1" x14ac:dyDescent="0.25">
      <c r="A44" s="17">
        <v>7</v>
      </c>
      <c r="B44" s="18" t="s">
        <v>266</v>
      </c>
      <c r="C44" s="17" t="s">
        <v>143</v>
      </c>
      <c r="D44" s="20" t="s">
        <v>16</v>
      </c>
      <c r="E44" s="33">
        <f>E45</f>
        <v>450000</v>
      </c>
      <c r="F44" s="33">
        <f>F45</f>
        <v>450000</v>
      </c>
      <c r="G44" s="20">
        <f t="shared" si="2"/>
        <v>100</v>
      </c>
      <c r="H44" s="27">
        <v>100</v>
      </c>
      <c r="I44" s="22"/>
      <c r="J44" s="23" t="s">
        <v>351</v>
      </c>
      <c r="K44" s="22"/>
    </row>
    <row r="45" spans="1:11" s="263" customFormat="1" ht="18" customHeight="1" x14ac:dyDescent="0.25">
      <c r="A45" s="22"/>
      <c r="B45" s="24" t="s">
        <v>13</v>
      </c>
      <c r="C45" s="22"/>
      <c r="D45" s="22"/>
      <c r="E45" s="35">
        <v>450000</v>
      </c>
      <c r="F45" s="35">
        <v>450000</v>
      </c>
      <c r="G45" s="117">
        <f t="shared" si="2"/>
        <v>100</v>
      </c>
      <c r="H45" s="25"/>
      <c r="I45" s="22"/>
      <c r="J45" s="22"/>
      <c r="K45" s="22"/>
    </row>
    <row r="46" spans="1:11" ht="126" customHeight="1" x14ac:dyDescent="0.25">
      <c r="A46" s="17">
        <v>8</v>
      </c>
      <c r="B46" s="18" t="s">
        <v>265</v>
      </c>
      <c r="C46" s="17" t="s">
        <v>143</v>
      </c>
      <c r="D46" s="19" t="s">
        <v>16</v>
      </c>
      <c r="E46" s="33">
        <f>E47</f>
        <v>262000</v>
      </c>
      <c r="F46" s="33">
        <f>F47</f>
        <v>262000</v>
      </c>
      <c r="G46" s="20">
        <f t="shared" si="2"/>
        <v>100</v>
      </c>
      <c r="H46" s="27">
        <v>100</v>
      </c>
      <c r="I46" s="22"/>
      <c r="J46" s="23" t="s">
        <v>351</v>
      </c>
      <c r="K46" s="22"/>
    </row>
    <row r="47" spans="1:11" s="263" customFormat="1" ht="19.5" customHeight="1" x14ac:dyDescent="0.25">
      <c r="A47" s="22"/>
      <c r="B47" s="24" t="s">
        <v>13</v>
      </c>
      <c r="C47" s="22"/>
      <c r="D47" s="22"/>
      <c r="E47" s="35">
        <v>262000</v>
      </c>
      <c r="F47" s="35">
        <v>262000</v>
      </c>
      <c r="G47" s="117">
        <f t="shared" si="2"/>
        <v>100</v>
      </c>
      <c r="H47" s="25"/>
      <c r="I47" s="22"/>
      <c r="J47" s="22"/>
      <c r="K47" s="22"/>
    </row>
    <row r="48" spans="1:11" ht="51.75" customHeight="1" x14ac:dyDescent="0.25">
      <c r="A48" s="17">
        <v>9</v>
      </c>
      <c r="B48" s="18" t="s">
        <v>264</v>
      </c>
      <c r="C48" s="17" t="s">
        <v>143</v>
      </c>
      <c r="D48" s="19" t="s">
        <v>16</v>
      </c>
      <c r="E48" s="33">
        <f>E49</f>
        <v>1880000</v>
      </c>
      <c r="F48" s="33">
        <f>F49</f>
        <v>332544.26</v>
      </c>
      <c r="G48" s="20">
        <f t="shared" si="2"/>
        <v>17.688524468085106</v>
      </c>
      <c r="H48" s="267">
        <v>100</v>
      </c>
      <c r="I48" s="22"/>
      <c r="J48" s="23" t="s">
        <v>351</v>
      </c>
      <c r="K48" s="22"/>
    </row>
    <row r="49" spans="1:11" s="263" customFormat="1" ht="18.75" customHeight="1" x14ac:dyDescent="0.25">
      <c r="A49" s="22"/>
      <c r="B49" s="26" t="s">
        <v>19</v>
      </c>
      <c r="C49" s="22"/>
      <c r="D49" s="22"/>
      <c r="E49" s="35">
        <v>1880000</v>
      </c>
      <c r="F49" s="35">
        <v>332544.26</v>
      </c>
      <c r="G49" s="117">
        <f t="shared" si="2"/>
        <v>17.688524468085106</v>
      </c>
      <c r="H49" s="25"/>
      <c r="I49" s="22"/>
      <c r="J49" s="22"/>
      <c r="K49" s="22"/>
    </row>
    <row r="50" spans="1:11" ht="18.75" customHeight="1" x14ac:dyDescent="0.25">
      <c r="A50" s="17"/>
      <c r="B50" s="28" t="s">
        <v>54</v>
      </c>
      <c r="C50" s="22"/>
      <c r="D50" s="22"/>
      <c r="E50" s="34">
        <f>E51+E52</f>
        <v>6345670</v>
      </c>
      <c r="F50" s="34">
        <f>F51+F52</f>
        <v>4103822.7299999995</v>
      </c>
      <c r="G50" s="29">
        <f t="shared" si="2"/>
        <v>64.67122825485724</v>
      </c>
      <c r="H50" s="25"/>
      <c r="I50" s="22"/>
      <c r="J50" s="22"/>
      <c r="K50" s="22"/>
    </row>
    <row r="51" spans="1:11" s="263" customFormat="1" ht="18.75" customHeight="1" x14ac:dyDescent="0.25">
      <c r="A51" s="22"/>
      <c r="B51" s="24" t="s">
        <v>13</v>
      </c>
      <c r="C51" s="22"/>
      <c r="D51" s="22"/>
      <c r="E51" s="35">
        <f>E47+E45+E43+E41+E34</f>
        <v>4442220</v>
      </c>
      <c r="F51" s="35">
        <f>F47+F45+F43+F41+F34</f>
        <v>3771278.4699999997</v>
      </c>
      <c r="G51" s="117">
        <f t="shared" si="2"/>
        <v>84.896256151203673</v>
      </c>
      <c r="H51" s="25"/>
      <c r="I51" s="22"/>
      <c r="J51" s="22"/>
      <c r="K51" s="22"/>
    </row>
    <row r="52" spans="1:11" s="263" customFormat="1" ht="18.75" customHeight="1" x14ac:dyDescent="0.25">
      <c r="A52" s="22"/>
      <c r="B52" s="26" t="s">
        <v>19</v>
      </c>
      <c r="C52" s="22"/>
      <c r="D52" s="22"/>
      <c r="E52" s="35">
        <f>E49+E35</f>
        <v>1903450</v>
      </c>
      <c r="F52" s="35">
        <f>F49</f>
        <v>332544.26</v>
      </c>
      <c r="G52" s="117">
        <f t="shared" si="2"/>
        <v>17.470606530247711</v>
      </c>
      <c r="H52" s="25"/>
      <c r="I52" s="22"/>
      <c r="J52" s="22"/>
      <c r="K52" s="22"/>
    </row>
    <row r="53" spans="1:11" ht="22.5" customHeight="1" x14ac:dyDescent="0.25">
      <c r="A53" s="17"/>
      <c r="B53" s="31" t="s">
        <v>73</v>
      </c>
      <c r="C53" s="22"/>
      <c r="D53" s="22"/>
      <c r="E53" s="34">
        <f>E54+E55</f>
        <v>28998193</v>
      </c>
      <c r="F53" s="34">
        <f>F54+F55</f>
        <v>10436929.27</v>
      </c>
      <c r="G53" s="29">
        <f t="shared" si="2"/>
        <v>35.991653928229248</v>
      </c>
      <c r="H53" s="25"/>
      <c r="I53" s="22"/>
      <c r="J53" s="22"/>
      <c r="K53" s="22"/>
    </row>
    <row r="54" spans="1:11" s="263" customFormat="1" ht="18.75" customHeight="1" x14ac:dyDescent="0.25">
      <c r="A54" s="22"/>
      <c r="B54" s="32" t="s">
        <v>13</v>
      </c>
      <c r="C54" s="22"/>
      <c r="D54" s="22"/>
      <c r="E54" s="35">
        <f>E51+E29</f>
        <v>11016348</v>
      </c>
      <c r="F54" s="35">
        <f>F51+F29</f>
        <v>7987988.3199999994</v>
      </c>
      <c r="G54" s="117">
        <f t="shared" si="2"/>
        <v>72.510312128847048</v>
      </c>
      <c r="H54" s="25"/>
      <c r="I54" s="22"/>
      <c r="J54" s="22"/>
      <c r="K54" s="22"/>
    </row>
    <row r="55" spans="1:11" s="263" customFormat="1" ht="16.5" x14ac:dyDescent="0.25">
      <c r="A55" s="22"/>
      <c r="B55" s="32" t="s">
        <v>144</v>
      </c>
      <c r="C55" s="22"/>
      <c r="D55" s="22"/>
      <c r="E55" s="35">
        <f>E30+E52</f>
        <v>17981845</v>
      </c>
      <c r="F55" s="35">
        <f>F30+F52</f>
        <v>2448940.9500000002</v>
      </c>
      <c r="G55" s="117">
        <f t="shared" si="2"/>
        <v>13.618963738148116</v>
      </c>
      <c r="H55" s="25"/>
      <c r="I55" s="117"/>
      <c r="J55" s="22"/>
      <c r="K55" s="22"/>
    </row>
    <row r="56" spans="1:11" ht="16.5" x14ac:dyDescent="0.25">
      <c r="A56" s="17"/>
      <c r="B56" s="32"/>
      <c r="C56" s="17"/>
      <c r="D56" s="17"/>
      <c r="E56" s="17"/>
      <c r="F56" s="17"/>
      <c r="G56" s="17"/>
      <c r="H56" s="27"/>
      <c r="I56" s="17"/>
      <c r="J56" s="17"/>
      <c r="K56" s="17"/>
    </row>
    <row r="57" spans="1:11" ht="33.75" customHeight="1" x14ac:dyDescent="0.25">
      <c r="A57" s="542" t="s">
        <v>304</v>
      </c>
      <c r="B57" s="542"/>
      <c r="C57" s="542"/>
      <c r="D57" s="542"/>
      <c r="E57" s="542"/>
      <c r="F57" s="542"/>
      <c r="G57" s="542"/>
      <c r="H57" s="542"/>
      <c r="I57" s="542"/>
      <c r="J57" s="542"/>
      <c r="K57" s="542"/>
    </row>
    <row r="58" spans="1:11" ht="33.75" customHeight="1" x14ac:dyDescent="0.25">
      <c r="A58" s="541" t="s">
        <v>60</v>
      </c>
      <c r="B58" s="541"/>
      <c r="C58" s="541"/>
      <c r="D58" s="541"/>
      <c r="E58" s="541"/>
      <c r="F58" s="541"/>
      <c r="G58" s="541"/>
      <c r="H58" s="541"/>
      <c r="I58" s="541"/>
      <c r="J58" s="541"/>
      <c r="K58" s="541"/>
    </row>
    <row r="59" spans="1:11" ht="63.75" customHeight="1" x14ac:dyDescent="0.25">
      <c r="A59" s="17">
        <v>10</v>
      </c>
      <c r="B59" s="18" t="s">
        <v>61</v>
      </c>
      <c r="C59" s="17" t="s">
        <v>14</v>
      </c>
      <c r="D59" s="19" t="s">
        <v>16</v>
      </c>
      <c r="E59" s="33">
        <v>170000</v>
      </c>
      <c r="F59" s="33">
        <v>170000</v>
      </c>
      <c r="G59" s="20">
        <f t="shared" ref="G59:G64" si="3">F59/E59*100</f>
        <v>100</v>
      </c>
      <c r="H59" s="27">
        <v>100</v>
      </c>
      <c r="I59" s="17"/>
      <c r="J59" s="23" t="s">
        <v>351</v>
      </c>
      <c r="K59" s="17"/>
    </row>
    <row r="60" spans="1:11" s="263" customFormat="1" ht="23.25" customHeight="1" x14ac:dyDescent="0.25">
      <c r="A60" s="22"/>
      <c r="B60" s="24" t="s">
        <v>13</v>
      </c>
      <c r="C60" s="22"/>
      <c r="D60" s="22"/>
      <c r="E60" s="35">
        <v>170000</v>
      </c>
      <c r="F60" s="35">
        <v>170000</v>
      </c>
      <c r="G60" s="117">
        <f t="shared" si="3"/>
        <v>100</v>
      </c>
      <c r="H60" s="25"/>
      <c r="I60" s="22"/>
      <c r="J60" s="22"/>
      <c r="K60" s="22"/>
    </row>
    <row r="61" spans="1:11" ht="66" customHeight="1" x14ac:dyDescent="0.25">
      <c r="A61" s="17">
        <v>11</v>
      </c>
      <c r="B61" s="18" t="s">
        <v>63</v>
      </c>
      <c r="C61" s="17" t="s">
        <v>14</v>
      </c>
      <c r="D61" s="19" t="s">
        <v>16</v>
      </c>
      <c r="E61" s="33">
        <v>318069</v>
      </c>
      <c r="F61" s="33">
        <v>317998.5</v>
      </c>
      <c r="G61" s="20">
        <f t="shared" si="3"/>
        <v>99.977834998066456</v>
      </c>
      <c r="H61" s="27">
        <v>100</v>
      </c>
      <c r="I61" s="17"/>
      <c r="J61" s="23" t="s">
        <v>351</v>
      </c>
      <c r="K61" s="18"/>
    </row>
    <row r="62" spans="1:11" s="263" customFormat="1" ht="27" customHeight="1" x14ac:dyDescent="0.25">
      <c r="A62" s="22"/>
      <c r="B62" s="24" t="s">
        <v>13</v>
      </c>
      <c r="C62" s="22"/>
      <c r="D62" s="22"/>
      <c r="E62" s="35">
        <v>318069</v>
      </c>
      <c r="F62" s="35">
        <v>317998.5</v>
      </c>
      <c r="G62" s="117">
        <f t="shared" si="3"/>
        <v>99.977834998066456</v>
      </c>
      <c r="H62" s="25"/>
      <c r="I62" s="22"/>
      <c r="J62" s="22"/>
      <c r="K62" s="22"/>
    </row>
    <row r="63" spans="1:11" ht="18" customHeight="1" x14ac:dyDescent="0.25">
      <c r="A63" s="17"/>
      <c r="B63" s="28" t="s">
        <v>54</v>
      </c>
      <c r="C63" s="17"/>
      <c r="D63" s="17"/>
      <c r="E63" s="34">
        <f>E59+E61</f>
        <v>488069</v>
      </c>
      <c r="F63" s="34">
        <f>F59+F61</f>
        <v>487998.5</v>
      </c>
      <c r="G63" s="29">
        <f t="shared" si="3"/>
        <v>99.985555321071402</v>
      </c>
      <c r="H63" s="27"/>
      <c r="I63" s="17"/>
      <c r="J63" s="17"/>
      <c r="K63" s="17"/>
    </row>
    <row r="64" spans="1:11" s="263" customFormat="1" ht="21" customHeight="1" x14ac:dyDescent="0.25">
      <c r="A64" s="22"/>
      <c r="B64" s="24" t="s">
        <v>13</v>
      </c>
      <c r="C64" s="22"/>
      <c r="D64" s="22"/>
      <c r="E64" s="35">
        <f>E60+E62</f>
        <v>488069</v>
      </c>
      <c r="F64" s="35">
        <f>F60+F62</f>
        <v>487998.5</v>
      </c>
      <c r="G64" s="117">
        <f t="shared" si="3"/>
        <v>99.985555321071402</v>
      </c>
      <c r="H64" s="25"/>
      <c r="I64" s="22"/>
      <c r="J64" s="22"/>
      <c r="K64" s="22"/>
    </row>
    <row r="65" spans="1:11" ht="24" customHeight="1" x14ac:dyDescent="0.25">
      <c r="A65" s="541" t="s">
        <v>62</v>
      </c>
      <c r="B65" s="541"/>
      <c r="C65" s="541"/>
      <c r="D65" s="541"/>
      <c r="E65" s="541"/>
      <c r="F65" s="541"/>
      <c r="G65" s="541"/>
      <c r="H65" s="541"/>
      <c r="I65" s="541"/>
      <c r="J65" s="541"/>
      <c r="K65" s="541"/>
    </row>
    <row r="66" spans="1:11" ht="84" customHeight="1" x14ac:dyDescent="0.25">
      <c r="A66" s="17">
        <v>12</v>
      </c>
      <c r="B66" s="18" t="s">
        <v>65</v>
      </c>
      <c r="C66" s="17" t="s">
        <v>14</v>
      </c>
      <c r="D66" s="19" t="s">
        <v>57</v>
      </c>
      <c r="E66" s="33">
        <v>748600</v>
      </c>
      <c r="F66" s="33">
        <v>557397.49</v>
      </c>
      <c r="G66" s="20">
        <f>F66/E66*100</f>
        <v>74.458654822335021</v>
      </c>
      <c r="H66" s="27">
        <v>75</v>
      </c>
      <c r="I66" s="23" t="s">
        <v>521</v>
      </c>
      <c r="J66" s="23" t="s">
        <v>522</v>
      </c>
      <c r="K66" s="17"/>
    </row>
    <row r="67" spans="1:11" s="263" customFormat="1" ht="24.75" customHeight="1" x14ac:dyDescent="0.25">
      <c r="A67" s="22"/>
      <c r="B67" s="24" t="s">
        <v>13</v>
      </c>
      <c r="C67" s="22"/>
      <c r="D67" s="22"/>
      <c r="E67" s="35">
        <v>748600</v>
      </c>
      <c r="F67" s="35">
        <v>557397.49</v>
      </c>
      <c r="G67" s="117">
        <f>F67/E67*100</f>
        <v>74.458654822335021</v>
      </c>
      <c r="H67" s="25"/>
      <c r="I67" s="22"/>
      <c r="J67" s="22"/>
      <c r="K67" s="22"/>
    </row>
    <row r="68" spans="1:11" ht="21.75" customHeight="1" x14ac:dyDescent="0.25">
      <c r="A68" s="17"/>
      <c r="B68" s="28" t="s">
        <v>54</v>
      </c>
      <c r="C68" s="17"/>
      <c r="D68" s="17"/>
      <c r="E68" s="34">
        <v>748600</v>
      </c>
      <c r="F68" s="34">
        <v>557397.49</v>
      </c>
      <c r="G68" s="29">
        <f t="shared" ref="G68:G86" si="4">F68/E68*100</f>
        <v>74.458654822335021</v>
      </c>
      <c r="H68" s="27"/>
      <c r="I68" s="17"/>
      <c r="J68" s="17"/>
      <c r="K68" s="17"/>
    </row>
    <row r="69" spans="1:11" s="263" customFormat="1" ht="21.75" customHeight="1" x14ac:dyDescent="0.25">
      <c r="A69" s="22"/>
      <c r="B69" s="24" t="s">
        <v>13</v>
      </c>
      <c r="C69" s="22"/>
      <c r="D69" s="22"/>
      <c r="E69" s="35">
        <v>748600</v>
      </c>
      <c r="F69" s="35">
        <v>557397.49</v>
      </c>
      <c r="G69" s="117">
        <f t="shared" si="4"/>
        <v>74.458654822335021</v>
      </c>
      <c r="H69" s="25"/>
      <c r="I69" s="22"/>
      <c r="J69" s="22"/>
      <c r="K69" s="22"/>
    </row>
    <row r="70" spans="1:11" ht="33.75" customHeight="1" x14ac:dyDescent="0.25">
      <c r="A70" s="541" t="s">
        <v>64</v>
      </c>
      <c r="B70" s="541"/>
      <c r="C70" s="541"/>
      <c r="D70" s="541"/>
      <c r="E70" s="541"/>
      <c r="F70" s="541"/>
      <c r="G70" s="541"/>
      <c r="H70" s="541"/>
      <c r="I70" s="541"/>
      <c r="J70" s="541"/>
      <c r="K70" s="541"/>
    </row>
    <row r="71" spans="1:11" ht="48.75" customHeight="1" x14ac:dyDescent="0.25">
      <c r="A71" s="17">
        <v>13</v>
      </c>
      <c r="B71" s="18" t="s">
        <v>66</v>
      </c>
      <c r="C71" s="17" t="s">
        <v>14</v>
      </c>
      <c r="D71" s="19" t="s">
        <v>16</v>
      </c>
      <c r="E71" s="33">
        <v>28000</v>
      </c>
      <c r="F71" s="33">
        <v>28000</v>
      </c>
      <c r="G71" s="20">
        <f t="shared" si="4"/>
        <v>100</v>
      </c>
      <c r="H71" s="27">
        <v>100</v>
      </c>
      <c r="I71" s="17"/>
      <c r="J71" s="23" t="s">
        <v>351</v>
      </c>
      <c r="K71" s="17"/>
    </row>
    <row r="72" spans="1:11" s="263" customFormat="1" ht="18" customHeight="1" x14ac:dyDescent="0.25">
      <c r="A72" s="22"/>
      <c r="B72" s="24" t="s">
        <v>53</v>
      </c>
      <c r="C72" s="22"/>
      <c r="D72" s="22"/>
      <c r="E72" s="35">
        <v>28000</v>
      </c>
      <c r="F72" s="35">
        <v>28000</v>
      </c>
      <c r="G72" s="117">
        <f t="shared" si="4"/>
        <v>100</v>
      </c>
      <c r="H72" s="25"/>
      <c r="I72" s="22"/>
      <c r="J72" s="22"/>
      <c r="K72" s="22"/>
    </row>
    <row r="73" spans="1:11" ht="18" customHeight="1" x14ac:dyDescent="0.25">
      <c r="A73" s="17"/>
      <c r="B73" s="28" t="s">
        <v>54</v>
      </c>
      <c r="C73" s="17"/>
      <c r="D73" s="17"/>
      <c r="E73" s="34">
        <v>28000</v>
      </c>
      <c r="F73" s="34">
        <v>28000</v>
      </c>
      <c r="G73" s="29">
        <f t="shared" si="4"/>
        <v>100</v>
      </c>
      <c r="H73" s="27"/>
      <c r="I73" s="17"/>
      <c r="J73" s="17"/>
      <c r="K73" s="17"/>
    </row>
    <row r="74" spans="1:11" s="263" customFormat="1" ht="17.25" customHeight="1" x14ac:dyDescent="0.25">
      <c r="A74" s="22"/>
      <c r="B74" s="24" t="s">
        <v>53</v>
      </c>
      <c r="C74" s="22"/>
      <c r="D74" s="22"/>
      <c r="E74" s="35">
        <v>28000</v>
      </c>
      <c r="F74" s="35">
        <v>28000</v>
      </c>
      <c r="G74" s="117">
        <f t="shared" si="4"/>
        <v>100</v>
      </c>
      <c r="H74" s="25"/>
      <c r="I74" s="22"/>
      <c r="J74" s="22"/>
      <c r="K74" s="22"/>
    </row>
    <row r="75" spans="1:11" ht="23.25" customHeight="1" x14ac:dyDescent="0.25">
      <c r="A75" s="541" t="s">
        <v>67</v>
      </c>
      <c r="B75" s="541"/>
      <c r="C75" s="541"/>
      <c r="D75" s="541"/>
      <c r="E75" s="541"/>
      <c r="F75" s="541"/>
      <c r="G75" s="541"/>
      <c r="H75" s="541"/>
      <c r="I75" s="541"/>
      <c r="J75" s="541"/>
      <c r="K75" s="541"/>
    </row>
    <row r="76" spans="1:11" ht="96" customHeight="1" x14ac:dyDescent="0.25">
      <c r="A76" s="17">
        <v>14</v>
      </c>
      <c r="B76" s="18" t="s">
        <v>523</v>
      </c>
      <c r="C76" s="17" t="s">
        <v>14</v>
      </c>
      <c r="D76" s="19">
        <v>2017</v>
      </c>
      <c r="E76" s="33">
        <v>11500</v>
      </c>
      <c r="F76" s="33">
        <v>11500</v>
      </c>
      <c r="G76" s="20">
        <f t="shared" si="4"/>
        <v>100</v>
      </c>
      <c r="H76" s="27">
        <v>100</v>
      </c>
      <c r="I76" s="40"/>
      <c r="J76" s="23" t="s">
        <v>380</v>
      </c>
      <c r="K76" s="40"/>
    </row>
    <row r="77" spans="1:11" s="263" customFormat="1" ht="23.25" customHeight="1" x14ac:dyDescent="0.25">
      <c r="A77" s="268"/>
      <c r="B77" s="24" t="s">
        <v>13</v>
      </c>
      <c r="C77" s="22"/>
      <c r="D77" s="265"/>
      <c r="E77" s="35">
        <v>11500</v>
      </c>
      <c r="F77" s="35">
        <v>11500</v>
      </c>
      <c r="G77" s="117">
        <f t="shared" si="4"/>
        <v>100</v>
      </c>
      <c r="H77" s="268"/>
      <c r="I77" s="268"/>
      <c r="J77" s="268"/>
      <c r="K77" s="268"/>
    </row>
    <row r="78" spans="1:11" ht="111.75" customHeight="1" x14ac:dyDescent="0.25">
      <c r="A78" s="68">
        <v>15</v>
      </c>
      <c r="B78" s="18" t="s">
        <v>68</v>
      </c>
      <c r="C78" s="17" t="s">
        <v>14</v>
      </c>
      <c r="D78" s="19" t="s">
        <v>16</v>
      </c>
      <c r="E78" s="33">
        <v>120717</v>
      </c>
      <c r="F78" s="33">
        <v>120607.85</v>
      </c>
      <c r="G78" s="20">
        <f t="shared" si="4"/>
        <v>99.909581914726189</v>
      </c>
      <c r="H78" s="27">
        <v>100</v>
      </c>
      <c r="I78" s="17"/>
      <c r="J78" s="23" t="s">
        <v>351</v>
      </c>
      <c r="K78" s="18"/>
    </row>
    <row r="79" spans="1:11" s="263" customFormat="1" ht="23.25" customHeight="1" x14ac:dyDescent="0.25">
      <c r="A79" s="22"/>
      <c r="B79" s="24" t="s">
        <v>13</v>
      </c>
      <c r="C79" s="22"/>
      <c r="D79" s="22"/>
      <c r="E79" s="35">
        <v>120717</v>
      </c>
      <c r="F79" s="35">
        <v>120607.85</v>
      </c>
      <c r="G79" s="117">
        <f t="shared" si="4"/>
        <v>99.909581914726189</v>
      </c>
      <c r="H79" s="25"/>
      <c r="I79" s="22"/>
      <c r="J79" s="22"/>
      <c r="K79" s="22"/>
    </row>
    <row r="80" spans="1:11" ht="23.25" customHeight="1" x14ac:dyDescent="0.25">
      <c r="A80" s="17"/>
      <c r="B80" s="28" t="s">
        <v>54</v>
      </c>
      <c r="C80" s="17"/>
      <c r="D80" s="17"/>
      <c r="E80" s="34">
        <f>E76+E78</f>
        <v>132217</v>
      </c>
      <c r="F80" s="34">
        <f>F76+F78</f>
        <v>132107.85</v>
      </c>
      <c r="G80" s="29">
        <f t="shared" si="4"/>
        <v>99.917446319308411</v>
      </c>
      <c r="H80" s="27"/>
      <c r="I80" s="17"/>
      <c r="J80" s="17"/>
      <c r="K80" s="17"/>
    </row>
    <row r="81" spans="1:11" s="263" customFormat="1" ht="23.25" customHeight="1" x14ac:dyDescent="0.25">
      <c r="A81" s="22"/>
      <c r="B81" s="24" t="s">
        <v>13</v>
      </c>
      <c r="C81" s="22"/>
      <c r="D81" s="22"/>
      <c r="E81" s="35">
        <f>E77+E79</f>
        <v>132217</v>
      </c>
      <c r="F81" s="35">
        <f>F77+F79</f>
        <v>132107.85</v>
      </c>
      <c r="G81" s="117">
        <f t="shared" si="4"/>
        <v>99.917446319308411</v>
      </c>
      <c r="H81" s="25"/>
      <c r="I81" s="22"/>
      <c r="J81" s="22"/>
      <c r="K81" s="22"/>
    </row>
    <row r="82" spans="1:11" ht="23.25" customHeight="1" x14ac:dyDescent="0.25">
      <c r="A82" s="541" t="s">
        <v>69</v>
      </c>
      <c r="B82" s="541"/>
      <c r="C82" s="541"/>
      <c r="D82" s="541"/>
      <c r="E82" s="541"/>
      <c r="F82" s="541"/>
      <c r="G82" s="541"/>
      <c r="H82" s="541"/>
      <c r="I82" s="541"/>
      <c r="J82" s="541"/>
      <c r="K82" s="541"/>
    </row>
    <row r="83" spans="1:11" ht="65.25" customHeight="1" x14ac:dyDescent="0.25">
      <c r="A83" s="17">
        <v>16</v>
      </c>
      <c r="B83" s="18" t="s">
        <v>70</v>
      </c>
      <c r="C83" s="17" t="s">
        <v>14</v>
      </c>
      <c r="D83" s="19" t="s">
        <v>16</v>
      </c>
      <c r="E83" s="33">
        <v>10000</v>
      </c>
      <c r="F83" s="33">
        <v>9993</v>
      </c>
      <c r="G83" s="20">
        <f t="shared" si="4"/>
        <v>99.929999999999993</v>
      </c>
      <c r="H83" s="27">
        <v>100</v>
      </c>
      <c r="I83" s="17"/>
      <c r="J83" s="23" t="s">
        <v>351</v>
      </c>
      <c r="K83" s="17"/>
    </row>
    <row r="84" spans="1:11" s="263" customFormat="1" ht="19.5" customHeight="1" x14ac:dyDescent="0.25">
      <c r="A84" s="22"/>
      <c r="B84" s="24" t="s">
        <v>13</v>
      </c>
      <c r="C84" s="22"/>
      <c r="D84" s="22"/>
      <c r="E84" s="35">
        <v>10000</v>
      </c>
      <c r="F84" s="35">
        <v>9993</v>
      </c>
      <c r="G84" s="117">
        <f t="shared" si="4"/>
        <v>99.929999999999993</v>
      </c>
      <c r="H84" s="25"/>
      <c r="I84" s="22"/>
      <c r="J84" s="22"/>
      <c r="K84" s="22"/>
    </row>
    <row r="85" spans="1:11" ht="65.25" customHeight="1" x14ac:dyDescent="0.25">
      <c r="A85" s="17">
        <v>17</v>
      </c>
      <c r="B85" s="18" t="s">
        <v>71</v>
      </c>
      <c r="C85" s="17" t="s">
        <v>14</v>
      </c>
      <c r="D85" s="19" t="s">
        <v>16</v>
      </c>
      <c r="E85" s="33">
        <v>14000</v>
      </c>
      <c r="F85" s="33">
        <v>13931.92</v>
      </c>
      <c r="G85" s="20">
        <f t="shared" si="4"/>
        <v>99.513714285714286</v>
      </c>
      <c r="H85" s="27">
        <v>100</v>
      </c>
      <c r="I85" s="17"/>
      <c r="J85" s="23" t="s">
        <v>351</v>
      </c>
      <c r="K85" s="17"/>
    </row>
    <row r="86" spans="1:11" s="263" customFormat="1" ht="20.25" customHeight="1" x14ac:dyDescent="0.25">
      <c r="A86" s="22"/>
      <c r="B86" s="24" t="s">
        <v>13</v>
      </c>
      <c r="C86" s="22"/>
      <c r="D86" s="22"/>
      <c r="E86" s="35">
        <v>14000</v>
      </c>
      <c r="F86" s="35">
        <v>13931.92</v>
      </c>
      <c r="G86" s="117">
        <f t="shared" si="4"/>
        <v>99.513714285714286</v>
      </c>
      <c r="H86" s="25"/>
      <c r="I86" s="22"/>
      <c r="J86" s="22"/>
      <c r="K86" s="22"/>
    </row>
    <row r="87" spans="1:11" ht="193.5" customHeight="1" x14ac:dyDescent="0.25">
      <c r="A87" s="17">
        <v>18</v>
      </c>
      <c r="B87" s="18" t="s">
        <v>72</v>
      </c>
      <c r="C87" s="17" t="s">
        <v>14</v>
      </c>
      <c r="D87" s="19" t="s">
        <v>16</v>
      </c>
      <c r="E87" s="33">
        <v>10000</v>
      </c>
      <c r="F87" s="33">
        <v>10000</v>
      </c>
      <c r="G87" s="20">
        <f>F87/E87*100</f>
        <v>100</v>
      </c>
      <c r="H87" s="27">
        <v>100</v>
      </c>
      <c r="I87" s="17"/>
      <c r="J87" s="23" t="s">
        <v>351</v>
      </c>
      <c r="K87" s="17"/>
    </row>
    <row r="88" spans="1:11" s="263" customFormat="1" ht="21" customHeight="1" x14ac:dyDescent="0.25">
      <c r="A88" s="22"/>
      <c r="B88" s="24" t="s">
        <v>13</v>
      </c>
      <c r="C88" s="22"/>
      <c r="D88" s="22"/>
      <c r="E88" s="35">
        <v>10000</v>
      </c>
      <c r="F88" s="35">
        <v>10000</v>
      </c>
      <c r="G88" s="117">
        <f>F88/E88*100</f>
        <v>100</v>
      </c>
      <c r="H88" s="25"/>
      <c r="I88" s="22"/>
      <c r="J88" s="22"/>
      <c r="K88" s="22"/>
    </row>
    <row r="89" spans="1:11" ht="17.25" customHeight="1" x14ac:dyDescent="0.25">
      <c r="A89" s="17"/>
      <c r="B89" s="28" t="s">
        <v>54</v>
      </c>
      <c r="C89" s="17"/>
      <c r="D89" s="17"/>
      <c r="E89" s="34">
        <f>E83+E85+E87</f>
        <v>34000</v>
      </c>
      <c r="F89" s="34">
        <f>F83+F85+F87</f>
        <v>33924.92</v>
      </c>
      <c r="G89" s="29">
        <f>F89/E89*100</f>
        <v>99.779176470588226</v>
      </c>
      <c r="H89" s="27"/>
      <c r="I89" s="17"/>
      <c r="J89" s="17"/>
      <c r="K89" s="17"/>
    </row>
    <row r="90" spans="1:11" s="263" customFormat="1" ht="23.25" customHeight="1" x14ac:dyDescent="0.25">
      <c r="A90" s="22"/>
      <c r="B90" s="24" t="s">
        <v>13</v>
      </c>
      <c r="C90" s="22"/>
      <c r="D90" s="22"/>
      <c r="E90" s="35">
        <f>E84+E86+E88</f>
        <v>34000</v>
      </c>
      <c r="F90" s="35">
        <f>F84+F86+F88</f>
        <v>33924.92</v>
      </c>
      <c r="G90" s="117">
        <f>F90/E90*100</f>
        <v>99.779176470588226</v>
      </c>
      <c r="H90" s="25"/>
      <c r="I90" s="22"/>
      <c r="J90" s="22"/>
      <c r="K90" s="22"/>
    </row>
    <row r="91" spans="1:11" ht="33.75" customHeight="1" x14ac:dyDescent="0.25">
      <c r="A91" s="541" t="s">
        <v>35</v>
      </c>
      <c r="B91" s="541"/>
      <c r="C91" s="541"/>
      <c r="D91" s="541"/>
      <c r="E91" s="541"/>
      <c r="F91" s="541"/>
      <c r="G91" s="541"/>
      <c r="H91" s="541"/>
      <c r="I91" s="541"/>
      <c r="J91" s="541"/>
      <c r="K91" s="541"/>
    </row>
    <row r="92" spans="1:11" ht="61.5" customHeight="1" x14ac:dyDescent="0.25">
      <c r="A92" s="17">
        <v>19</v>
      </c>
      <c r="B92" s="18" t="s">
        <v>46</v>
      </c>
      <c r="C92" s="1" t="s">
        <v>14</v>
      </c>
      <c r="D92" s="1" t="s">
        <v>44</v>
      </c>
      <c r="E92" s="33">
        <v>5000</v>
      </c>
      <c r="F92" s="33">
        <f>F93</f>
        <v>5000</v>
      </c>
      <c r="G92" s="20">
        <f t="shared" ref="G92:G101" si="5">F92/E92*100</f>
        <v>100</v>
      </c>
      <c r="H92" s="27">
        <v>100</v>
      </c>
      <c r="I92" s="17"/>
      <c r="J92" s="23" t="s">
        <v>351</v>
      </c>
      <c r="K92" s="17"/>
    </row>
    <row r="93" spans="1:11" s="263" customFormat="1" ht="18.75" customHeight="1" x14ac:dyDescent="0.25">
      <c r="A93" s="22"/>
      <c r="B93" s="24" t="s">
        <v>13</v>
      </c>
      <c r="C93" s="22"/>
      <c r="D93" s="22"/>
      <c r="E93" s="35">
        <v>5000</v>
      </c>
      <c r="F93" s="35">
        <v>5000</v>
      </c>
      <c r="G93" s="117">
        <f t="shared" si="5"/>
        <v>100</v>
      </c>
      <c r="H93" s="25"/>
      <c r="I93" s="22"/>
      <c r="J93" s="22"/>
      <c r="K93" s="22"/>
    </row>
    <row r="94" spans="1:11" s="38" customFormat="1" ht="36" customHeight="1" x14ac:dyDescent="0.25">
      <c r="A94" s="17">
        <v>20</v>
      </c>
      <c r="B94" s="18" t="s">
        <v>524</v>
      </c>
      <c r="C94" s="1" t="s">
        <v>14</v>
      </c>
      <c r="D94" s="1" t="s">
        <v>248</v>
      </c>
      <c r="E94" s="33">
        <v>10000</v>
      </c>
      <c r="F94" s="33">
        <v>10000</v>
      </c>
      <c r="G94" s="20">
        <f t="shared" si="5"/>
        <v>100</v>
      </c>
      <c r="H94" s="27">
        <v>100</v>
      </c>
      <c r="I94" s="17"/>
      <c r="J94" s="23" t="s">
        <v>449</v>
      </c>
      <c r="K94" s="17"/>
    </row>
    <row r="95" spans="1:11" s="263" customFormat="1" ht="21.75" customHeight="1" x14ac:dyDescent="0.25">
      <c r="A95" s="22"/>
      <c r="B95" s="24" t="s">
        <v>13</v>
      </c>
      <c r="C95" s="22"/>
      <c r="D95" s="22"/>
      <c r="E95" s="35">
        <v>10000</v>
      </c>
      <c r="F95" s="35">
        <v>10000</v>
      </c>
      <c r="G95" s="117">
        <f t="shared" si="5"/>
        <v>100</v>
      </c>
      <c r="H95" s="25"/>
      <c r="I95" s="22"/>
      <c r="J95" s="22"/>
      <c r="K95" s="22"/>
    </row>
    <row r="96" spans="1:11" ht="64.5" customHeight="1" x14ac:dyDescent="0.25">
      <c r="A96" s="17">
        <v>21</v>
      </c>
      <c r="B96" s="18" t="s">
        <v>275</v>
      </c>
      <c r="C96" s="1" t="s">
        <v>14</v>
      </c>
      <c r="D96" s="1" t="s">
        <v>274</v>
      </c>
      <c r="E96" s="33">
        <v>50000</v>
      </c>
      <c r="F96" s="33">
        <v>50000</v>
      </c>
      <c r="G96" s="20">
        <f t="shared" si="5"/>
        <v>100</v>
      </c>
      <c r="H96" s="27">
        <v>100</v>
      </c>
      <c r="I96" s="17"/>
      <c r="J96" s="23" t="s">
        <v>525</v>
      </c>
      <c r="K96" s="17"/>
    </row>
    <row r="97" spans="1:11" s="263" customFormat="1" ht="21.75" customHeight="1" x14ac:dyDescent="0.25">
      <c r="A97" s="22"/>
      <c r="B97" s="24" t="s">
        <v>13</v>
      </c>
      <c r="C97" s="22"/>
      <c r="D97" s="22"/>
      <c r="E97" s="35">
        <v>50000</v>
      </c>
      <c r="F97" s="35">
        <v>50000</v>
      </c>
      <c r="G97" s="117">
        <f t="shared" si="5"/>
        <v>100</v>
      </c>
      <c r="H97" s="25"/>
      <c r="I97" s="22"/>
      <c r="J97" s="22"/>
      <c r="K97" s="22"/>
    </row>
    <row r="98" spans="1:11" ht="80.25" customHeight="1" x14ac:dyDescent="0.25">
      <c r="A98" s="17">
        <v>22</v>
      </c>
      <c r="B98" s="18" t="s">
        <v>276</v>
      </c>
      <c r="C98" s="1" t="s">
        <v>14</v>
      </c>
      <c r="D98" s="1" t="s">
        <v>274</v>
      </c>
      <c r="E98" s="33">
        <v>28700</v>
      </c>
      <c r="F98" s="33">
        <v>28700</v>
      </c>
      <c r="G98" s="20">
        <f t="shared" si="5"/>
        <v>100</v>
      </c>
      <c r="H98" s="27">
        <v>100</v>
      </c>
      <c r="I98" s="17"/>
      <c r="J98" s="23" t="s">
        <v>525</v>
      </c>
      <c r="K98" s="17"/>
    </row>
    <row r="99" spans="1:11" s="263" customFormat="1" ht="21.75" customHeight="1" x14ac:dyDescent="0.25">
      <c r="A99" s="22"/>
      <c r="B99" s="24" t="s">
        <v>13</v>
      </c>
      <c r="C99" s="22"/>
      <c r="D99" s="22"/>
      <c r="E99" s="35">
        <v>28700</v>
      </c>
      <c r="F99" s="35">
        <v>28700</v>
      </c>
      <c r="G99" s="117">
        <f t="shared" si="5"/>
        <v>100</v>
      </c>
      <c r="H99" s="25"/>
      <c r="I99" s="22"/>
      <c r="J99" s="22"/>
      <c r="K99" s="22"/>
    </row>
    <row r="100" spans="1:11" ht="50.25" customHeight="1" x14ac:dyDescent="0.25">
      <c r="A100" s="17">
        <v>23</v>
      </c>
      <c r="B100" s="18" t="s">
        <v>47</v>
      </c>
      <c r="C100" s="39" t="s">
        <v>48</v>
      </c>
      <c r="D100" s="1" t="s">
        <v>15</v>
      </c>
      <c r="E100" s="33">
        <v>50597</v>
      </c>
      <c r="F100" s="33">
        <v>50597</v>
      </c>
      <c r="G100" s="20">
        <f t="shared" si="5"/>
        <v>100</v>
      </c>
      <c r="H100" s="27">
        <v>100</v>
      </c>
      <c r="I100" s="40"/>
      <c r="J100" s="23" t="s">
        <v>525</v>
      </c>
      <c r="K100" s="17"/>
    </row>
    <row r="101" spans="1:11" s="263" customFormat="1" ht="23.25" customHeight="1" x14ac:dyDescent="0.25">
      <c r="A101" s="22"/>
      <c r="B101" s="24" t="s">
        <v>13</v>
      </c>
      <c r="C101" s="22"/>
      <c r="D101" s="22"/>
      <c r="E101" s="35">
        <v>50597</v>
      </c>
      <c r="F101" s="35">
        <v>50597</v>
      </c>
      <c r="G101" s="20">
        <f t="shared" si="5"/>
        <v>100</v>
      </c>
      <c r="H101" s="25"/>
      <c r="I101" s="22"/>
      <c r="J101" s="22"/>
      <c r="K101" s="22"/>
    </row>
    <row r="102" spans="1:11" ht="116.25" customHeight="1" x14ac:dyDescent="0.25">
      <c r="A102" s="17">
        <v>24</v>
      </c>
      <c r="B102" s="18" t="s">
        <v>49</v>
      </c>
      <c r="C102" s="39" t="s">
        <v>50</v>
      </c>
      <c r="D102" s="1" t="s">
        <v>15</v>
      </c>
      <c r="E102" s="33">
        <v>26000</v>
      </c>
      <c r="F102" s="33">
        <v>26000</v>
      </c>
      <c r="G102" s="17">
        <v>100</v>
      </c>
      <c r="H102" s="27">
        <v>100</v>
      </c>
      <c r="I102" s="40"/>
      <c r="J102" s="23" t="s">
        <v>351</v>
      </c>
      <c r="K102" s="17"/>
    </row>
    <row r="103" spans="1:11" s="263" customFormat="1" ht="22.5" customHeight="1" x14ac:dyDescent="0.25">
      <c r="A103" s="22"/>
      <c r="B103" s="24" t="s">
        <v>13</v>
      </c>
      <c r="C103" s="22"/>
      <c r="D103" s="22"/>
      <c r="E103" s="35">
        <v>26000</v>
      </c>
      <c r="F103" s="35">
        <v>26000</v>
      </c>
      <c r="G103" s="22">
        <v>100</v>
      </c>
      <c r="H103" s="25"/>
      <c r="I103" s="22"/>
      <c r="J103" s="22"/>
      <c r="K103" s="22"/>
    </row>
    <row r="104" spans="1:11" ht="69" customHeight="1" x14ac:dyDescent="0.25">
      <c r="A104" s="17">
        <v>25</v>
      </c>
      <c r="B104" s="18" t="s">
        <v>51</v>
      </c>
      <c r="C104" s="17" t="s">
        <v>50</v>
      </c>
      <c r="D104" s="1" t="s">
        <v>52</v>
      </c>
      <c r="E104" s="33">
        <v>29000</v>
      </c>
      <c r="F104" s="33">
        <f>F105+F106</f>
        <v>58000</v>
      </c>
      <c r="G104" s="17">
        <f>F104/E104*100</f>
        <v>200</v>
      </c>
      <c r="H104" s="27">
        <v>100</v>
      </c>
      <c r="I104" s="40"/>
      <c r="J104" s="23" t="s">
        <v>522</v>
      </c>
      <c r="K104" s="17"/>
    </row>
    <row r="105" spans="1:11" s="263" customFormat="1" ht="15.75" customHeight="1" x14ac:dyDescent="0.25">
      <c r="A105" s="22"/>
      <c r="B105" s="24" t="s">
        <v>13</v>
      </c>
      <c r="C105" s="22"/>
      <c r="D105" s="22"/>
      <c r="E105" s="35">
        <v>29000</v>
      </c>
      <c r="F105" s="35">
        <v>29000</v>
      </c>
      <c r="G105" s="22">
        <v>100</v>
      </c>
      <c r="H105" s="25"/>
      <c r="I105" s="22"/>
      <c r="J105" s="22"/>
      <c r="K105" s="22"/>
    </row>
    <row r="106" spans="1:11" s="263" customFormat="1" ht="22.5" customHeight="1" x14ac:dyDescent="0.25">
      <c r="A106" s="22"/>
      <c r="B106" s="32" t="s">
        <v>324</v>
      </c>
      <c r="C106" s="22"/>
      <c r="D106" s="22"/>
      <c r="E106" s="35"/>
      <c r="F106" s="35">
        <v>29000</v>
      </c>
      <c r="G106" s="22"/>
      <c r="H106" s="25"/>
      <c r="I106" s="22"/>
      <c r="J106" s="22"/>
      <c r="K106" s="22"/>
    </row>
    <row r="107" spans="1:11" ht="46.5" customHeight="1" x14ac:dyDescent="0.25">
      <c r="A107" s="17"/>
      <c r="B107" s="28" t="s">
        <v>54</v>
      </c>
      <c r="C107" s="17"/>
      <c r="D107" s="17"/>
      <c r="E107" s="34">
        <f>E92+E94+E96+E98+E100+E102+E104</f>
        <v>199297</v>
      </c>
      <c r="F107" s="34">
        <f>F92+F94+F96+F98+F100+F102+F104</f>
        <v>228297</v>
      </c>
      <c r="G107" s="43">
        <f>F107/E107*100</f>
        <v>114.55114728269868</v>
      </c>
      <c r="H107" s="27"/>
      <c r="I107" s="17"/>
      <c r="J107" s="17"/>
      <c r="K107" s="17"/>
    </row>
    <row r="108" spans="1:11" ht="21.75" customHeight="1" x14ac:dyDescent="0.25">
      <c r="A108" s="17"/>
      <c r="B108" s="24" t="s">
        <v>13</v>
      </c>
      <c r="C108" s="22"/>
      <c r="D108" s="22"/>
      <c r="E108" s="35">
        <f>E92+E94+E96+E98+E100+E102+E104</f>
        <v>199297</v>
      </c>
      <c r="F108" s="35">
        <f>F92+F94+F96+F98+F100+F102+F105</f>
        <v>199297</v>
      </c>
      <c r="G108" s="269">
        <f>F108/E108*100</f>
        <v>100</v>
      </c>
      <c r="H108" s="27"/>
      <c r="I108" s="17"/>
      <c r="J108" s="17"/>
      <c r="K108" s="17"/>
    </row>
    <row r="109" spans="1:11" s="263" customFormat="1" ht="18.75" customHeight="1" x14ac:dyDescent="0.25">
      <c r="A109" s="22"/>
      <c r="B109" s="32" t="s">
        <v>324</v>
      </c>
      <c r="C109" s="22"/>
      <c r="D109" s="22"/>
      <c r="E109" s="35"/>
      <c r="F109" s="35">
        <v>29000</v>
      </c>
      <c r="G109" s="269"/>
      <c r="H109" s="25"/>
      <c r="I109" s="22"/>
      <c r="J109" s="22"/>
      <c r="K109" s="22"/>
    </row>
    <row r="110" spans="1:11" ht="27.75" customHeight="1" x14ac:dyDescent="0.25">
      <c r="A110" s="541" t="s">
        <v>55</v>
      </c>
      <c r="B110" s="541"/>
      <c r="C110" s="541"/>
      <c r="D110" s="541"/>
      <c r="E110" s="541"/>
      <c r="F110" s="541"/>
      <c r="G110" s="541"/>
      <c r="H110" s="541"/>
      <c r="I110" s="541"/>
      <c r="J110" s="541"/>
      <c r="K110" s="541"/>
    </row>
    <row r="111" spans="1:11" ht="51.75" customHeight="1" x14ac:dyDescent="0.25">
      <c r="A111" s="17">
        <v>26</v>
      </c>
      <c r="B111" s="18" t="s">
        <v>56</v>
      </c>
      <c r="C111" s="1" t="s">
        <v>14</v>
      </c>
      <c r="D111" s="17" t="s">
        <v>57</v>
      </c>
      <c r="E111" s="45">
        <v>68956</v>
      </c>
      <c r="F111" s="45">
        <v>68955.350000000006</v>
      </c>
      <c r="G111" s="46">
        <f>F111/E111*100</f>
        <v>99.999057369917054</v>
      </c>
      <c r="H111" s="47">
        <v>100</v>
      </c>
      <c r="I111" s="48"/>
      <c r="J111" s="23" t="s">
        <v>522</v>
      </c>
      <c r="K111" s="17"/>
    </row>
    <row r="112" spans="1:11" s="263" customFormat="1" ht="27.75" customHeight="1" x14ac:dyDescent="0.25">
      <c r="A112" s="22"/>
      <c r="B112" s="24" t="s">
        <v>13</v>
      </c>
      <c r="C112" s="22"/>
      <c r="D112" s="22"/>
      <c r="E112" s="270">
        <v>68956</v>
      </c>
      <c r="F112" s="270">
        <v>68955.350000000006</v>
      </c>
      <c r="G112" s="271">
        <f>F112/E112*100</f>
        <v>99.999057369917054</v>
      </c>
      <c r="H112" s="25"/>
      <c r="I112" s="22"/>
      <c r="J112" s="22"/>
      <c r="K112" s="22"/>
    </row>
    <row r="113" spans="1:11" ht="66" customHeight="1" x14ac:dyDescent="0.25">
      <c r="A113" s="17">
        <v>27</v>
      </c>
      <c r="B113" s="18" t="s">
        <v>277</v>
      </c>
      <c r="C113" s="1" t="s">
        <v>14</v>
      </c>
      <c r="D113" s="17" t="s">
        <v>526</v>
      </c>
      <c r="E113" s="45">
        <v>28151</v>
      </c>
      <c r="F113" s="45">
        <v>28150.93</v>
      </c>
      <c r="G113" s="46">
        <f t="shared" ref="G113:G124" si="6">F113/E113*100</f>
        <v>99.999751340982556</v>
      </c>
      <c r="H113" s="47">
        <v>100</v>
      </c>
      <c r="I113" s="17"/>
      <c r="J113" s="23" t="s">
        <v>522</v>
      </c>
      <c r="K113" s="17"/>
    </row>
    <row r="114" spans="1:11" s="263" customFormat="1" ht="27.75" customHeight="1" x14ac:dyDescent="0.25">
      <c r="A114" s="22"/>
      <c r="B114" s="24" t="s">
        <v>13</v>
      </c>
      <c r="C114" s="22"/>
      <c r="D114" s="22"/>
      <c r="E114" s="270">
        <v>28151</v>
      </c>
      <c r="F114" s="270">
        <v>28150.93</v>
      </c>
      <c r="G114" s="271">
        <f t="shared" si="6"/>
        <v>99.999751340982556</v>
      </c>
      <c r="H114" s="25"/>
      <c r="I114" s="22"/>
      <c r="J114" s="22"/>
      <c r="K114" s="22"/>
    </row>
    <row r="115" spans="1:11" ht="19.5" customHeight="1" x14ac:dyDescent="0.25">
      <c r="A115" s="17"/>
      <c r="B115" s="28" t="s">
        <v>54</v>
      </c>
      <c r="C115" s="17"/>
      <c r="D115" s="17"/>
      <c r="E115" s="49">
        <f>E111+E113</f>
        <v>97107</v>
      </c>
      <c r="F115" s="49">
        <f>F113+F111</f>
        <v>97106.28</v>
      </c>
      <c r="G115" s="50">
        <f t="shared" si="6"/>
        <v>99.99925854984707</v>
      </c>
      <c r="H115" s="27"/>
      <c r="I115" s="17"/>
      <c r="J115" s="17"/>
      <c r="K115" s="17"/>
    </row>
    <row r="116" spans="1:11" s="263" customFormat="1" ht="17.25" customHeight="1" x14ac:dyDescent="0.25">
      <c r="A116" s="22"/>
      <c r="B116" s="24" t="s">
        <v>13</v>
      </c>
      <c r="C116" s="22"/>
      <c r="D116" s="22"/>
      <c r="E116" s="270">
        <f>E112+E114</f>
        <v>97107</v>
      </c>
      <c r="F116" s="270">
        <f>F114+F112</f>
        <v>97106.28</v>
      </c>
      <c r="G116" s="46">
        <f t="shared" si="6"/>
        <v>99.99925854984707</v>
      </c>
      <c r="H116" s="25"/>
      <c r="I116" s="22"/>
      <c r="J116" s="22"/>
      <c r="K116" s="22"/>
    </row>
    <row r="117" spans="1:11" ht="30" customHeight="1" x14ac:dyDescent="0.25">
      <c r="A117" s="541" t="s">
        <v>58</v>
      </c>
      <c r="B117" s="541"/>
      <c r="C117" s="541"/>
      <c r="D117" s="541"/>
      <c r="E117" s="541"/>
      <c r="F117" s="541"/>
      <c r="G117" s="541"/>
      <c r="H117" s="541"/>
      <c r="I117" s="541"/>
      <c r="J117" s="541"/>
      <c r="K117" s="541"/>
    </row>
    <row r="118" spans="1:11" ht="54" customHeight="1" x14ac:dyDescent="0.25">
      <c r="A118" s="17">
        <v>28</v>
      </c>
      <c r="B118" s="18" t="s">
        <v>59</v>
      </c>
      <c r="C118" s="39" t="s">
        <v>14</v>
      </c>
      <c r="D118" s="17" t="s">
        <v>44</v>
      </c>
      <c r="E118" s="45">
        <v>19950</v>
      </c>
      <c r="F118" s="45">
        <v>19950</v>
      </c>
      <c r="G118" s="46">
        <f t="shared" si="6"/>
        <v>100</v>
      </c>
      <c r="H118" s="47">
        <v>100</v>
      </c>
      <c r="I118" s="48"/>
      <c r="J118" s="23" t="s">
        <v>351</v>
      </c>
      <c r="K118" s="17"/>
    </row>
    <row r="119" spans="1:11" s="263" customFormat="1" ht="21.75" customHeight="1" x14ac:dyDescent="0.25">
      <c r="A119" s="22"/>
      <c r="B119" s="24" t="s">
        <v>13</v>
      </c>
      <c r="C119" s="22"/>
      <c r="D119" s="22"/>
      <c r="E119" s="270">
        <v>19950</v>
      </c>
      <c r="F119" s="270">
        <v>19950</v>
      </c>
      <c r="G119" s="271">
        <f t="shared" si="6"/>
        <v>100</v>
      </c>
      <c r="H119" s="25"/>
      <c r="I119" s="22"/>
      <c r="J119" s="22"/>
      <c r="K119" s="22"/>
    </row>
    <row r="120" spans="1:11" ht="99.75" customHeight="1" x14ac:dyDescent="0.25">
      <c r="A120" s="17">
        <v>29</v>
      </c>
      <c r="B120" s="18" t="s">
        <v>527</v>
      </c>
      <c r="C120" s="39" t="s">
        <v>14</v>
      </c>
      <c r="D120" s="17">
        <v>2017</v>
      </c>
      <c r="E120" s="45">
        <v>15000</v>
      </c>
      <c r="F120" s="45">
        <v>15000</v>
      </c>
      <c r="G120" s="46">
        <f t="shared" si="6"/>
        <v>100</v>
      </c>
      <c r="H120" s="47">
        <v>100</v>
      </c>
      <c r="I120" s="17"/>
      <c r="J120" s="23" t="s">
        <v>380</v>
      </c>
      <c r="K120" s="17"/>
    </row>
    <row r="121" spans="1:11" s="263" customFormat="1" ht="17.25" customHeight="1" x14ac:dyDescent="0.25">
      <c r="A121" s="22"/>
      <c r="B121" s="24" t="s">
        <v>13</v>
      </c>
      <c r="C121" s="22"/>
      <c r="D121" s="22"/>
      <c r="E121" s="270">
        <v>15000</v>
      </c>
      <c r="F121" s="270">
        <v>15000</v>
      </c>
      <c r="G121" s="271">
        <f t="shared" si="6"/>
        <v>100</v>
      </c>
      <c r="H121" s="25"/>
      <c r="I121" s="22"/>
      <c r="J121" s="22"/>
      <c r="K121" s="22"/>
    </row>
    <row r="122" spans="1:11" ht="51" customHeight="1" x14ac:dyDescent="0.25">
      <c r="A122" s="17">
        <v>30</v>
      </c>
      <c r="B122" s="18" t="s">
        <v>278</v>
      </c>
      <c r="C122" s="39" t="s">
        <v>14</v>
      </c>
      <c r="D122" s="17" t="s">
        <v>274</v>
      </c>
      <c r="E122" s="45">
        <v>9980</v>
      </c>
      <c r="F122" s="45">
        <v>9980</v>
      </c>
      <c r="G122" s="46">
        <f t="shared" si="6"/>
        <v>100</v>
      </c>
      <c r="H122" s="47">
        <v>100</v>
      </c>
      <c r="I122" s="17"/>
      <c r="J122" s="23" t="s">
        <v>351</v>
      </c>
      <c r="K122" s="17"/>
    </row>
    <row r="123" spans="1:11" s="263" customFormat="1" ht="17.25" customHeight="1" x14ac:dyDescent="0.25">
      <c r="A123" s="22"/>
      <c r="B123" s="24" t="s">
        <v>13</v>
      </c>
      <c r="C123" s="22"/>
      <c r="D123" s="22"/>
      <c r="E123" s="270">
        <v>9980</v>
      </c>
      <c r="F123" s="270">
        <v>9980</v>
      </c>
      <c r="G123" s="271">
        <f t="shared" si="6"/>
        <v>100</v>
      </c>
      <c r="H123" s="25"/>
      <c r="I123" s="22"/>
      <c r="J123" s="22"/>
      <c r="K123" s="22"/>
    </row>
    <row r="124" spans="1:11" ht="17.25" customHeight="1" x14ac:dyDescent="0.25">
      <c r="A124" s="17"/>
      <c r="B124" s="28" t="s">
        <v>54</v>
      </c>
      <c r="C124" s="17"/>
      <c r="D124" s="17"/>
      <c r="E124" s="49">
        <f>E118+E120+E122</f>
        <v>44930</v>
      </c>
      <c r="F124" s="49">
        <f>F118+F120+F122</f>
        <v>44930</v>
      </c>
      <c r="G124" s="50">
        <f t="shared" si="6"/>
        <v>100</v>
      </c>
      <c r="H124" s="27"/>
      <c r="I124" s="17"/>
      <c r="J124" s="17"/>
      <c r="K124" s="17"/>
    </row>
    <row r="125" spans="1:11" s="263" customFormat="1" ht="17.25" customHeight="1" x14ac:dyDescent="0.25">
      <c r="A125" s="22"/>
      <c r="B125" s="24" t="s">
        <v>13</v>
      </c>
      <c r="C125" s="22"/>
      <c r="D125" s="22"/>
      <c r="E125" s="270">
        <f>E119+E121+E123</f>
        <v>44930</v>
      </c>
      <c r="F125" s="270">
        <f>F123+F121+F119</f>
        <v>44930</v>
      </c>
      <c r="G125" s="272">
        <v>100</v>
      </c>
      <c r="H125" s="25"/>
      <c r="I125" s="22"/>
      <c r="J125" s="22"/>
      <c r="K125" s="22"/>
    </row>
    <row r="126" spans="1:11" s="38" customFormat="1" ht="81.75" customHeight="1" x14ac:dyDescent="0.25">
      <c r="A126" s="17">
        <v>31</v>
      </c>
      <c r="B126" s="18" t="s">
        <v>271</v>
      </c>
      <c r="C126" s="1" t="s">
        <v>14</v>
      </c>
      <c r="D126" s="17" t="s">
        <v>44</v>
      </c>
      <c r="E126" s="45">
        <v>12032141</v>
      </c>
      <c r="F126" s="45">
        <v>10532421.529999999</v>
      </c>
      <c r="G126" s="30">
        <f>F126/E126*100</f>
        <v>87.535722279185393</v>
      </c>
      <c r="H126" s="47">
        <v>100</v>
      </c>
      <c r="I126" s="17"/>
      <c r="J126" s="18" t="s">
        <v>528</v>
      </c>
      <c r="K126" s="17"/>
    </row>
    <row r="127" spans="1:11" s="263" customFormat="1" ht="18.75" customHeight="1" x14ac:dyDescent="0.25">
      <c r="A127" s="22"/>
      <c r="B127" s="24" t="s">
        <v>13</v>
      </c>
      <c r="C127" s="273"/>
      <c r="D127" s="22"/>
      <c r="E127" s="270">
        <v>12032141</v>
      </c>
      <c r="F127" s="270">
        <v>10532421.529999999</v>
      </c>
      <c r="G127" s="269">
        <f>F127/E127*100</f>
        <v>87.535722279185393</v>
      </c>
      <c r="H127" s="25"/>
      <c r="I127" s="22"/>
      <c r="J127" s="24"/>
      <c r="K127" s="22"/>
    </row>
    <row r="128" spans="1:11" ht="18.75" customHeight="1" x14ac:dyDescent="0.25">
      <c r="A128" s="17"/>
      <c r="B128" s="31" t="s">
        <v>73</v>
      </c>
      <c r="C128" s="39"/>
      <c r="D128" s="17"/>
      <c r="E128" s="49">
        <f>E129+E130</f>
        <v>13804361</v>
      </c>
      <c r="F128" s="49">
        <f>F129+F130</f>
        <v>12142183.57</v>
      </c>
      <c r="G128" s="43">
        <f>F128/E128*100</f>
        <v>87.959041132001687</v>
      </c>
      <c r="H128" s="27"/>
      <c r="I128" s="17"/>
      <c r="J128" s="18"/>
      <c r="K128" s="17"/>
    </row>
    <row r="129" spans="1:11" s="263" customFormat="1" ht="18.75" customHeight="1" x14ac:dyDescent="0.25">
      <c r="A129" s="22"/>
      <c r="B129" s="32" t="s">
        <v>13</v>
      </c>
      <c r="C129" s="273"/>
      <c r="D129" s="22"/>
      <c r="E129" s="270">
        <f>E64+E69+E81+E90+E108+E116+E125+E127</f>
        <v>13776361</v>
      </c>
      <c r="F129" s="270">
        <f>F64+F69+F81+F90+F108+F116+F125+F127</f>
        <v>12085183.57</v>
      </c>
      <c r="G129" s="269">
        <f>F129/E129*100</f>
        <v>87.724062762292604</v>
      </c>
      <c r="H129" s="25"/>
      <c r="I129" s="22"/>
      <c r="J129" s="24"/>
      <c r="K129" s="22"/>
    </row>
    <row r="130" spans="1:11" s="263" customFormat="1" ht="18.75" customHeight="1" x14ac:dyDescent="0.25">
      <c r="A130" s="22"/>
      <c r="B130" s="32" t="s">
        <v>53</v>
      </c>
      <c r="C130" s="273"/>
      <c r="D130" s="22"/>
      <c r="E130" s="270">
        <f>E72</f>
        <v>28000</v>
      </c>
      <c r="F130" s="270">
        <f>F72+F109</f>
        <v>57000</v>
      </c>
      <c r="G130" s="274">
        <f>F130/E130*100</f>
        <v>203.57142857142856</v>
      </c>
      <c r="H130" s="25"/>
      <c r="I130" s="22"/>
      <c r="J130" s="24"/>
      <c r="K130" s="22"/>
    </row>
    <row r="131" spans="1:11" ht="9" customHeight="1" x14ac:dyDescent="0.25">
      <c r="A131" s="17"/>
      <c r="B131" s="24"/>
      <c r="C131" s="22"/>
      <c r="D131" s="22"/>
      <c r="E131" s="22"/>
      <c r="F131" s="22"/>
      <c r="G131" s="22"/>
      <c r="H131" s="52"/>
      <c r="I131" s="24"/>
      <c r="J131" s="24"/>
      <c r="K131" s="24"/>
    </row>
    <row r="132" spans="1:11" ht="24" customHeight="1" x14ac:dyDescent="0.25">
      <c r="A132" s="542" t="s">
        <v>305</v>
      </c>
      <c r="B132" s="542"/>
      <c r="C132" s="542"/>
      <c r="D132" s="542"/>
      <c r="E132" s="542"/>
      <c r="F132" s="542"/>
      <c r="G132" s="542"/>
      <c r="H132" s="542"/>
      <c r="I132" s="542"/>
      <c r="J132" s="542"/>
      <c r="K132" s="542"/>
    </row>
    <row r="133" spans="1:11" ht="24" customHeight="1" x14ac:dyDescent="0.25">
      <c r="A133" s="541" t="s">
        <v>284</v>
      </c>
      <c r="B133" s="541"/>
      <c r="C133" s="541"/>
      <c r="D133" s="541"/>
      <c r="E133" s="541"/>
      <c r="F133" s="541"/>
      <c r="G133" s="541"/>
      <c r="H133" s="541"/>
      <c r="I133" s="541"/>
      <c r="J133" s="541"/>
      <c r="K133" s="541"/>
    </row>
    <row r="134" spans="1:11" ht="81.75" customHeight="1" x14ac:dyDescent="0.25">
      <c r="A134" s="17">
        <v>32</v>
      </c>
      <c r="B134" s="18" t="s">
        <v>529</v>
      </c>
      <c r="C134" s="1" t="s">
        <v>14</v>
      </c>
      <c r="D134" s="17" t="s">
        <v>285</v>
      </c>
      <c r="E134" s="45">
        <f>E137</f>
        <v>10000</v>
      </c>
      <c r="F134" s="45">
        <f>F137</f>
        <v>10000</v>
      </c>
      <c r="G134" s="30">
        <f>F134/E134*100</f>
        <v>100</v>
      </c>
      <c r="H134" s="47">
        <v>100</v>
      </c>
      <c r="I134" s="16"/>
      <c r="J134" s="18" t="s">
        <v>530</v>
      </c>
      <c r="K134" s="16"/>
    </row>
    <row r="135" spans="1:11" ht="18.75" customHeight="1" x14ac:dyDescent="0.25">
      <c r="A135" s="17"/>
      <c r="B135" s="24" t="s">
        <v>13</v>
      </c>
      <c r="C135" s="268"/>
      <c r="D135" s="268"/>
      <c r="E135" s="270">
        <v>10000</v>
      </c>
      <c r="F135" s="270">
        <v>10000</v>
      </c>
      <c r="G135" s="269">
        <f>F135/E135*100</f>
        <v>100</v>
      </c>
      <c r="H135" s="268"/>
      <c r="I135" s="268"/>
      <c r="J135" s="18"/>
      <c r="K135" s="16"/>
    </row>
    <row r="136" spans="1:11" ht="19.5" customHeight="1" x14ac:dyDescent="0.25">
      <c r="A136" s="17"/>
      <c r="B136" s="28" t="s">
        <v>54</v>
      </c>
      <c r="C136" s="268"/>
      <c r="D136" s="268"/>
      <c r="E136" s="49">
        <v>10000</v>
      </c>
      <c r="F136" s="49">
        <v>10000</v>
      </c>
      <c r="G136" s="43">
        <f>F136/E136*100</f>
        <v>100</v>
      </c>
      <c r="H136" s="268"/>
      <c r="I136" s="268"/>
      <c r="J136" s="18"/>
      <c r="K136" s="16"/>
    </row>
    <row r="137" spans="1:11" s="263" customFormat="1" ht="19.5" customHeight="1" x14ac:dyDescent="0.25">
      <c r="A137" s="268"/>
      <c r="B137" s="24" t="s">
        <v>13</v>
      </c>
      <c r="C137" s="268"/>
      <c r="D137" s="268"/>
      <c r="E137" s="270">
        <v>10000</v>
      </c>
      <c r="F137" s="270">
        <v>10000</v>
      </c>
      <c r="G137" s="269">
        <f>F137/E137*100</f>
        <v>100</v>
      </c>
      <c r="H137" s="268"/>
      <c r="I137" s="268"/>
      <c r="J137" s="268"/>
      <c r="K137" s="268"/>
    </row>
    <row r="138" spans="1:11" ht="22.5" customHeight="1" x14ac:dyDescent="0.25">
      <c r="A138" s="541" t="s">
        <v>12</v>
      </c>
      <c r="B138" s="541"/>
      <c r="C138" s="541"/>
      <c r="D138" s="541"/>
      <c r="E138" s="541"/>
      <c r="F138" s="541"/>
      <c r="G138" s="541"/>
      <c r="H138" s="541"/>
      <c r="I138" s="541"/>
      <c r="J138" s="541"/>
      <c r="K138" s="541"/>
    </row>
    <row r="139" spans="1:11" s="38" customFormat="1" ht="210" customHeight="1" x14ac:dyDescent="0.25">
      <c r="A139" s="17">
        <v>33</v>
      </c>
      <c r="B139" s="18" t="s">
        <v>36</v>
      </c>
      <c r="C139" s="17" t="s">
        <v>14</v>
      </c>
      <c r="D139" s="17" t="s">
        <v>15</v>
      </c>
      <c r="E139" s="45">
        <f>E140</f>
        <v>10343</v>
      </c>
      <c r="F139" s="45">
        <v>10000</v>
      </c>
      <c r="G139" s="30">
        <f t="shared" ref="G139:G144" si="7">F139/E139*100</f>
        <v>96.683747462051628</v>
      </c>
      <c r="H139" s="47">
        <v>100</v>
      </c>
      <c r="I139" s="17"/>
      <c r="J139" s="23" t="s">
        <v>351</v>
      </c>
      <c r="K139" s="17"/>
    </row>
    <row r="140" spans="1:11" s="263" customFormat="1" ht="19.5" customHeight="1" x14ac:dyDescent="0.25">
      <c r="A140" s="22"/>
      <c r="B140" s="24" t="s">
        <v>13</v>
      </c>
      <c r="C140" s="22"/>
      <c r="D140" s="22"/>
      <c r="E140" s="35">
        <v>10343</v>
      </c>
      <c r="F140" s="270">
        <v>10000</v>
      </c>
      <c r="G140" s="269">
        <f t="shared" si="7"/>
        <v>96.683747462051628</v>
      </c>
      <c r="H140" s="274"/>
      <c r="I140" s="22"/>
      <c r="J140" s="22"/>
      <c r="K140" s="22"/>
    </row>
    <row r="141" spans="1:11" s="38" customFormat="1" ht="114" customHeight="1" x14ac:dyDescent="0.25">
      <c r="A141" s="17">
        <v>34</v>
      </c>
      <c r="B141" s="18" t="s">
        <v>37</v>
      </c>
      <c r="C141" s="17" t="s">
        <v>14</v>
      </c>
      <c r="D141" s="17" t="s">
        <v>16</v>
      </c>
      <c r="E141" s="45">
        <f>E142</f>
        <v>10000</v>
      </c>
      <c r="F141" s="45">
        <f>F142</f>
        <v>10000</v>
      </c>
      <c r="G141" s="30">
        <f t="shared" si="7"/>
        <v>100</v>
      </c>
      <c r="H141" s="47">
        <v>100</v>
      </c>
      <c r="I141" s="17"/>
      <c r="J141" s="23" t="s">
        <v>351</v>
      </c>
      <c r="K141" s="17"/>
    </row>
    <row r="142" spans="1:11" s="263" customFormat="1" ht="16.5" customHeight="1" x14ac:dyDescent="0.25">
      <c r="A142" s="22"/>
      <c r="B142" s="24" t="s">
        <v>13</v>
      </c>
      <c r="C142" s="22"/>
      <c r="D142" s="22"/>
      <c r="E142" s="35">
        <v>10000</v>
      </c>
      <c r="F142" s="35">
        <v>10000</v>
      </c>
      <c r="G142" s="269">
        <f t="shared" si="7"/>
        <v>100</v>
      </c>
      <c r="H142" s="274"/>
      <c r="I142" s="22"/>
      <c r="J142" s="22"/>
      <c r="K142" s="22"/>
    </row>
    <row r="143" spans="1:11" ht="19.5" customHeight="1" x14ac:dyDescent="0.25">
      <c r="A143" s="17"/>
      <c r="B143" s="28" t="s">
        <v>54</v>
      </c>
      <c r="C143" s="17"/>
      <c r="D143" s="17"/>
      <c r="E143" s="34">
        <f>E140+E142</f>
        <v>20343</v>
      </c>
      <c r="F143" s="34">
        <f>F140+F142</f>
        <v>20000</v>
      </c>
      <c r="G143" s="43">
        <f t="shared" si="7"/>
        <v>98.313916334857197</v>
      </c>
      <c r="H143" s="275"/>
      <c r="I143" s="17"/>
      <c r="J143" s="17"/>
      <c r="K143" s="17"/>
    </row>
    <row r="144" spans="1:11" s="263" customFormat="1" ht="19.5" customHeight="1" x14ac:dyDescent="0.25">
      <c r="A144" s="22"/>
      <c r="B144" s="24" t="s">
        <v>13</v>
      </c>
      <c r="C144" s="22"/>
      <c r="D144" s="22"/>
      <c r="E144" s="35">
        <f>E142+E140</f>
        <v>20343</v>
      </c>
      <c r="F144" s="35">
        <f>F142+F140</f>
        <v>20000</v>
      </c>
      <c r="G144" s="269">
        <f t="shared" si="7"/>
        <v>98.313916334857197</v>
      </c>
      <c r="H144" s="25"/>
      <c r="I144" s="22"/>
      <c r="J144" s="22"/>
      <c r="K144" s="22"/>
    </row>
    <row r="145" spans="1:11" ht="19.5" customHeight="1" x14ac:dyDescent="0.25">
      <c r="A145" s="541" t="s">
        <v>20</v>
      </c>
      <c r="B145" s="541"/>
      <c r="C145" s="541"/>
      <c r="D145" s="541"/>
      <c r="E145" s="541"/>
      <c r="F145" s="541"/>
      <c r="G145" s="541"/>
      <c r="H145" s="541"/>
      <c r="I145" s="541"/>
      <c r="J145" s="541"/>
      <c r="K145" s="541"/>
    </row>
    <row r="146" spans="1:11" s="38" customFormat="1" ht="83.25" customHeight="1" x14ac:dyDescent="0.25">
      <c r="A146" s="17">
        <v>35</v>
      </c>
      <c r="B146" s="18" t="s">
        <v>286</v>
      </c>
      <c r="C146" s="17" t="s">
        <v>287</v>
      </c>
      <c r="D146" s="17" t="s">
        <v>16</v>
      </c>
      <c r="E146" s="45">
        <f>E147</f>
        <v>655139</v>
      </c>
      <c r="F146" s="45">
        <f>F147</f>
        <v>650051.14</v>
      </c>
      <c r="G146" s="30">
        <f>F146/E146*100</f>
        <v>99.223392287743522</v>
      </c>
      <c r="H146" s="47">
        <v>100</v>
      </c>
      <c r="I146" s="17"/>
      <c r="J146" s="23" t="s">
        <v>351</v>
      </c>
      <c r="K146" s="17"/>
    </row>
    <row r="147" spans="1:11" s="263" customFormat="1" ht="19.5" customHeight="1" x14ac:dyDescent="0.25">
      <c r="A147" s="22"/>
      <c r="B147" s="24" t="s">
        <v>27</v>
      </c>
      <c r="C147" s="22"/>
      <c r="D147" s="22"/>
      <c r="E147" s="35">
        <f>E148+E149+E150</f>
        <v>655139</v>
      </c>
      <c r="F147" s="35">
        <f>F148+F149+F150</f>
        <v>650051.14</v>
      </c>
      <c r="G147" s="269">
        <f>F147/E147*100</f>
        <v>99.223392287743522</v>
      </c>
      <c r="H147" s="274"/>
      <c r="I147" s="22"/>
      <c r="J147" s="22"/>
      <c r="K147" s="22"/>
    </row>
    <row r="148" spans="1:11" s="276" customFormat="1" ht="64.5" customHeight="1" x14ac:dyDescent="0.25">
      <c r="A148" s="17"/>
      <c r="B148" s="18" t="s">
        <v>29</v>
      </c>
      <c r="C148" s="17"/>
      <c r="D148" s="17"/>
      <c r="E148" s="33">
        <v>5000</v>
      </c>
      <c r="F148" s="33"/>
      <c r="G148" s="30">
        <f t="shared" ref="G148:G150" si="8">F148/E148*100</f>
        <v>0</v>
      </c>
      <c r="H148" s="47"/>
      <c r="I148" s="23" t="s">
        <v>531</v>
      </c>
      <c r="J148" s="17"/>
      <c r="K148" s="17"/>
    </row>
    <row r="149" spans="1:11" s="276" customFormat="1" ht="19.5" customHeight="1" x14ac:dyDescent="0.25">
      <c r="A149" s="17"/>
      <c r="B149" s="18" t="s">
        <v>31</v>
      </c>
      <c r="C149" s="17"/>
      <c r="D149" s="17"/>
      <c r="E149" s="33">
        <v>352448</v>
      </c>
      <c r="F149" s="33">
        <v>352400.55</v>
      </c>
      <c r="G149" s="30">
        <f t="shared" si="8"/>
        <v>99.986537021064095</v>
      </c>
      <c r="H149" s="47"/>
      <c r="I149" s="17"/>
      <c r="J149" s="17"/>
      <c r="K149" s="17"/>
    </row>
    <row r="150" spans="1:11" s="276" customFormat="1" ht="19.5" customHeight="1" x14ac:dyDescent="0.25">
      <c r="A150" s="17"/>
      <c r="B150" s="18" t="s">
        <v>32</v>
      </c>
      <c r="C150" s="17"/>
      <c r="D150" s="17"/>
      <c r="E150" s="33">
        <v>297691</v>
      </c>
      <c r="F150" s="33">
        <v>297650.59000000003</v>
      </c>
      <c r="G150" s="30">
        <f t="shared" si="8"/>
        <v>99.986425521765867</v>
      </c>
      <c r="H150" s="47"/>
      <c r="I150" s="17"/>
      <c r="J150" s="17"/>
      <c r="K150" s="17"/>
    </row>
    <row r="151" spans="1:11" ht="19.5" customHeight="1" x14ac:dyDescent="0.25">
      <c r="A151" s="17"/>
      <c r="B151" s="28" t="s">
        <v>54</v>
      </c>
      <c r="C151" s="17"/>
      <c r="D151" s="17"/>
      <c r="E151" s="20">
        <f>E152</f>
        <v>655139</v>
      </c>
      <c r="F151" s="20">
        <f>F152</f>
        <v>650051.14</v>
      </c>
      <c r="G151" s="20"/>
      <c r="H151" s="27"/>
      <c r="I151" s="17"/>
      <c r="J151" s="17"/>
      <c r="K151" s="17"/>
    </row>
    <row r="152" spans="1:11" s="263" customFormat="1" ht="19.5" customHeight="1" x14ac:dyDescent="0.25">
      <c r="A152" s="22"/>
      <c r="B152" s="24" t="s">
        <v>22</v>
      </c>
      <c r="C152" s="22"/>
      <c r="D152" s="22"/>
      <c r="E152" s="117">
        <f>E147</f>
        <v>655139</v>
      </c>
      <c r="F152" s="117">
        <f>F147</f>
        <v>650051.14</v>
      </c>
      <c r="G152" s="269">
        <f>F152/E152*100</f>
        <v>99.223392287743522</v>
      </c>
      <c r="H152" s="25"/>
      <c r="I152" s="22"/>
      <c r="J152" s="22"/>
      <c r="K152" s="22"/>
    </row>
    <row r="153" spans="1:11" ht="19.5" customHeight="1" x14ac:dyDescent="0.25">
      <c r="A153" s="541" t="s">
        <v>23</v>
      </c>
      <c r="B153" s="541"/>
      <c r="C153" s="541"/>
      <c r="D153" s="541"/>
      <c r="E153" s="541"/>
      <c r="F153" s="541"/>
      <c r="G153" s="541"/>
      <c r="H153" s="541"/>
      <c r="I153" s="541"/>
      <c r="J153" s="541"/>
      <c r="K153" s="541"/>
    </row>
    <row r="154" spans="1:11" s="38" customFormat="1" ht="96.75" customHeight="1" x14ac:dyDescent="0.25">
      <c r="A154" s="17">
        <v>36</v>
      </c>
      <c r="B154" s="18" t="s">
        <v>288</v>
      </c>
      <c r="C154" s="17" t="s">
        <v>17</v>
      </c>
      <c r="D154" s="17" t="s">
        <v>15</v>
      </c>
      <c r="E154" s="17" t="s">
        <v>18</v>
      </c>
      <c r="F154" s="20">
        <v>0</v>
      </c>
      <c r="G154" s="17"/>
      <c r="H154" s="27">
        <v>100</v>
      </c>
      <c r="I154" s="17"/>
      <c r="J154" s="23" t="s">
        <v>351</v>
      </c>
      <c r="K154" s="18"/>
    </row>
    <row r="155" spans="1:11" ht="19.5" customHeight="1" x14ac:dyDescent="0.25">
      <c r="A155" s="17"/>
      <c r="B155" s="24" t="s">
        <v>19</v>
      </c>
      <c r="C155" s="17"/>
      <c r="D155" s="17"/>
      <c r="E155" s="17"/>
      <c r="F155" s="17"/>
      <c r="G155" s="17"/>
      <c r="H155" s="27"/>
      <c r="I155" s="17"/>
      <c r="J155" s="17"/>
      <c r="K155" s="17"/>
    </row>
    <row r="156" spans="1:11" ht="19.5" customHeight="1" x14ac:dyDescent="0.25">
      <c r="A156" s="17"/>
      <c r="B156" s="28" t="s">
        <v>54</v>
      </c>
      <c r="C156" s="17"/>
      <c r="D156" s="17"/>
      <c r="E156" s="17"/>
      <c r="F156" s="17"/>
      <c r="G156" s="17"/>
      <c r="H156" s="27"/>
      <c r="I156" s="17"/>
      <c r="J156" s="17"/>
      <c r="K156" s="17"/>
    </row>
    <row r="157" spans="1:11" ht="19.5" customHeight="1" x14ac:dyDescent="0.25">
      <c r="A157" s="17"/>
      <c r="B157" s="24" t="s">
        <v>19</v>
      </c>
      <c r="C157" s="17"/>
      <c r="D157" s="17"/>
      <c r="E157" s="17"/>
      <c r="F157" s="17"/>
      <c r="G157" s="17"/>
      <c r="H157" s="27"/>
      <c r="I157" s="17"/>
      <c r="J157" s="17"/>
      <c r="K157" s="17"/>
    </row>
    <row r="158" spans="1:11" ht="35.25" customHeight="1" x14ac:dyDescent="0.25">
      <c r="A158" s="541" t="s">
        <v>24</v>
      </c>
      <c r="B158" s="541"/>
      <c r="C158" s="541"/>
      <c r="D158" s="541"/>
      <c r="E158" s="541"/>
      <c r="F158" s="541"/>
      <c r="G158" s="541"/>
      <c r="H158" s="541"/>
      <c r="I158" s="541"/>
      <c r="J158" s="541"/>
      <c r="K158" s="541"/>
    </row>
    <row r="159" spans="1:11" s="38" customFormat="1" ht="87" customHeight="1" x14ac:dyDescent="0.25">
      <c r="A159" s="10">
        <v>37</v>
      </c>
      <c r="B159" s="18" t="s">
        <v>38</v>
      </c>
      <c r="C159" s="17" t="s">
        <v>14</v>
      </c>
      <c r="D159" s="17" t="s">
        <v>16</v>
      </c>
      <c r="E159" s="45">
        <f>E160</f>
        <v>25200</v>
      </c>
      <c r="F159" s="45">
        <f>F160</f>
        <v>25200</v>
      </c>
      <c r="G159" s="30">
        <f>F159/E159*100</f>
        <v>100</v>
      </c>
      <c r="H159" s="27">
        <v>100</v>
      </c>
      <c r="I159" s="53"/>
      <c r="J159" s="23" t="s">
        <v>351</v>
      </c>
      <c r="K159" s="53"/>
    </row>
    <row r="160" spans="1:11" s="263" customFormat="1" ht="18" customHeight="1" x14ac:dyDescent="0.25">
      <c r="A160" s="277"/>
      <c r="B160" s="24" t="s">
        <v>13</v>
      </c>
      <c r="C160" s="278"/>
      <c r="D160" s="278"/>
      <c r="E160" s="35">
        <v>25200</v>
      </c>
      <c r="F160" s="35">
        <v>25200</v>
      </c>
      <c r="G160" s="269">
        <f>F160/E160*100</f>
        <v>100</v>
      </c>
      <c r="H160" s="25"/>
      <c r="I160" s="279"/>
      <c r="J160" s="279"/>
      <c r="K160" s="279"/>
    </row>
    <row r="161" spans="1:11" ht="18" customHeight="1" x14ac:dyDescent="0.25">
      <c r="A161" s="10"/>
      <c r="B161" s="28" t="s">
        <v>54</v>
      </c>
      <c r="C161" s="12"/>
      <c r="D161" s="12"/>
      <c r="E161" s="34">
        <f>E162</f>
        <v>25200</v>
      </c>
      <c r="F161" s="34">
        <f>F162</f>
        <v>25200</v>
      </c>
      <c r="G161" s="43">
        <f>F161/E161*100</f>
        <v>100</v>
      </c>
      <c r="H161" s="13"/>
      <c r="I161" s="14"/>
      <c r="J161" s="14"/>
      <c r="K161" s="14"/>
    </row>
    <row r="162" spans="1:11" s="263" customFormat="1" ht="18" customHeight="1" x14ac:dyDescent="0.25">
      <c r="A162" s="277"/>
      <c r="B162" s="24" t="s">
        <v>13</v>
      </c>
      <c r="C162" s="278"/>
      <c r="D162" s="278"/>
      <c r="E162" s="35">
        <v>25200</v>
      </c>
      <c r="F162" s="35">
        <v>25200</v>
      </c>
      <c r="G162" s="269">
        <f>F162/E162*100</f>
        <v>100</v>
      </c>
      <c r="H162" s="280"/>
      <c r="I162" s="279"/>
      <c r="J162" s="279"/>
      <c r="K162" s="279"/>
    </row>
    <row r="163" spans="1:11" ht="19.5" customHeight="1" x14ac:dyDescent="0.25">
      <c r="A163" s="541" t="s">
        <v>25</v>
      </c>
      <c r="B163" s="541"/>
      <c r="C163" s="541"/>
      <c r="D163" s="541"/>
      <c r="E163" s="541"/>
      <c r="F163" s="541"/>
      <c r="G163" s="541"/>
      <c r="H163" s="541"/>
      <c r="I163" s="541"/>
      <c r="J163" s="541"/>
      <c r="K163" s="541"/>
    </row>
    <row r="164" spans="1:11" ht="177" customHeight="1" x14ac:dyDescent="0.25">
      <c r="A164" s="10">
        <v>38</v>
      </c>
      <c r="B164" s="18" t="s">
        <v>39</v>
      </c>
      <c r="C164" s="17" t="s">
        <v>17</v>
      </c>
      <c r="D164" s="17" t="s">
        <v>16</v>
      </c>
      <c r="E164" s="20">
        <f>E165</f>
        <v>50000</v>
      </c>
      <c r="F164" s="20">
        <f>F165</f>
        <v>0</v>
      </c>
      <c r="G164" s="20"/>
      <c r="H164" s="54"/>
      <c r="I164" s="23" t="s">
        <v>532</v>
      </c>
      <c r="J164" s="23" t="s">
        <v>533</v>
      </c>
      <c r="K164" s="23"/>
    </row>
    <row r="165" spans="1:11" s="263" customFormat="1" ht="19.5" customHeight="1" x14ac:dyDescent="0.25">
      <c r="A165" s="277"/>
      <c r="B165" s="24" t="s">
        <v>19</v>
      </c>
      <c r="C165" s="278"/>
      <c r="D165" s="278"/>
      <c r="E165" s="117">
        <v>50000</v>
      </c>
      <c r="F165" s="117">
        <v>0</v>
      </c>
      <c r="G165" s="269">
        <f>F165/E165*100</f>
        <v>0</v>
      </c>
      <c r="H165" s="25"/>
      <c r="I165" s="279"/>
      <c r="J165" s="279"/>
      <c r="K165" s="279"/>
    </row>
    <row r="166" spans="1:11" ht="19.5" customHeight="1" x14ac:dyDescent="0.25">
      <c r="A166" s="10"/>
      <c r="B166" s="28" t="s">
        <v>54</v>
      </c>
      <c r="C166" s="12"/>
      <c r="D166" s="12"/>
      <c r="E166" s="20">
        <f>E167</f>
        <v>50000</v>
      </c>
      <c r="F166" s="20">
        <f>F167</f>
        <v>0</v>
      </c>
      <c r="G166" s="30">
        <f>F166/E166*100</f>
        <v>0</v>
      </c>
      <c r="H166" s="13"/>
      <c r="I166" s="14"/>
      <c r="J166" s="14"/>
      <c r="K166" s="14"/>
    </row>
    <row r="167" spans="1:11" s="263" customFormat="1" ht="19.5" customHeight="1" x14ac:dyDescent="0.25">
      <c r="A167" s="277"/>
      <c r="B167" s="24" t="s">
        <v>19</v>
      </c>
      <c r="C167" s="278"/>
      <c r="D167" s="278"/>
      <c r="E167" s="117">
        <v>50000</v>
      </c>
      <c r="F167" s="117">
        <f>F165</f>
        <v>0</v>
      </c>
      <c r="G167" s="269">
        <f>F167/E167*100</f>
        <v>0</v>
      </c>
      <c r="H167" s="280"/>
      <c r="I167" s="279"/>
      <c r="J167" s="279"/>
      <c r="K167" s="279"/>
    </row>
    <row r="168" spans="1:11" ht="19.5" customHeight="1" x14ac:dyDescent="0.25">
      <c r="A168" s="541" t="s">
        <v>534</v>
      </c>
      <c r="B168" s="541"/>
      <c r="C168" s="541"/>
      <c r="D168" s="541"/>
      <c r="E168" s="541"/>
      <c r="F168" s="541"/>
      <c r="G168" s="541"/>
      <c r="H168" s="541"/>
      <c r="I168" s="541"/>
      <c r="J168" s="541"/>
      <c r="K168" s="541"/>
    </row>
    <row r="169" spans="1:11" s="38" customFormat="1" ht="252.75" customHeight="1" x14ac:dyDescent="0.25">
      <c r="A169" s="10">
        <v>39</v>
      </c>
      <c r="B169" s="18" t="s">
        <v>535</v>
      </c>
      <c r="C169" s="17" t="s">
        <v>21</v>
      </c>
      <c r="D169" s="17">
        <v>2017</v>
      </c>
      <c r="E169" s="33">
        <f>E170</f>
        <v>8000000</v>
      </c>
      <c r="F169" s="33">
        <f>F170</f>
        <v>473362.48</v>
      </c>
      <c r="G169" s="30">
        <f>F169/E169*100</f>
        <v>5.9170309999999997</v>
      </c>
      <c r="H169" s="54"/>
      <c r="I169" s="10" t="s">
        <v>536</v>
      </c>
      <c r="J169" s="23" t="s">
        <v>537</v>
      </c>
      <c r="K169" s="53" t="s">
        <v>538</v>
      </c>
    </row>
    <row r="170" spans="1:11" ht="36" customHeight="1" x14ac:dyDescent="0.25">
      <c r="A170" s="10"/>
      <c r="B170" s="24" t="s">
        <v>539</v>
      </c>
      <c r="C170" s="12"/>
      <c r="D170" s="12"/>
      <c r="E170" s="35">
        <v>8000000</v>
      </c>
      <c r="F170" s="270">
        <v>473362.48</v>
      </c>
      <c r="G170" s="269">
        <f>F170/E170*100</f>
        <v>5.9170309999999997</v>
      </c>
      <c r="H170" s="27"/>
      <c r="I170" s="14"/>
      <c r="J170" s="14"/>
      <c r="K170" s="14"/>
    </row>
    <row r="171" spans="1:11" ht="17.25" customHeight="1" x14ac:dyDescent="0.25">
      <c r="A171" s="10"/>
      <c r="B171" s="28" t="s">
        <v>54</v>
      </c>
      <c r="C171" s="12"/>
      <c r="D171" s="12"/>
      <c r="E171" s="33">
        <f>E172</f>
        <v>8000000</v>
      </c>
      <c r="F171" s="33">
        <f>F172</f>
        <v>473362.48</v>
      </c>
      <c r="G171" s="20"/>
      <c r="H171" s="13"/>
      <c r="I171" s="14"/>
      <c r="J171" s="14"/>
      <c r="K171" s="14"/>
    </row>
    <row r="172" spans="1:11" s="263" customFormat="1" ht="39" customHeight="1" x14ac:dyDescent="0.25">
      <c r="A172" s="277"/>
      <c r="B172" s="24" t="s">
        <v>539</v>
      </c>
      <c r="C172" s="278"/>
      <c r="D172" s="278"/>
      <c r="E172" s="117">
        <f>E170</f>
        <v>8000000</v>
      </c>
      <c r="F172" s="270">
        <f>F170</f>
        <v>473362.48</v>
      </c>
      <c r="G172" s="268">
        <f>F172/E172*100</f>
        <v>5.9170309999999997</v>
      </c>
      <c r="H172" s="280"/>
      <c r="I172" s="279"/>
      <c r="J172" s="279"/>
      <c r="K172" s="279"/>
    </row>
    <row r="173" spans="1:11" ht="17.25" customHeight="1" x14ac:dyDescent="0.25">
      <c r="A173" s="10"/>
      <c r="B173" s="31" t="s">
        <v>73</v>
      </c>
      <c r="C173" s="12"/>
      <c r="D173" s="12"/>
      <c r="E173" s="34">
        <f>E174+E175+E176</f>
        <v>8760682</v>
      </c>
      <c r="F173" s="34">
        <f>F174+F175+F176</f>
        <v>1178613.6200000001</v>
      </c>
      <c r="G173" s="29">
        <f>F173/E173*100</f>
        <v>13.453445976009631</v>
      </c>
      <c r="H173" s="13"/>
      <c r="I173" s="14"/>
      <c r="J173" s="14"/>
      <c r="K173" s="14"/>
    </row>
    <row r="174" spans="1:11" ht="17.25" customHeight="1" x14ac:dyDescent="0.25">
      <c r="A174" s="10"/>
      <c r="B174" s="32" t="s">
        <v>13</v>
      </c>
      <c r="C174" s="12"/>
      <c r="D174" s="12"/>
      <c r="E174" s="35">
        <f>E137+E144+E160</f>
        <v>55543</v>
      </c>
      <c r="F174" s="35">
        <f>F137+F144+F160</f>
        <v>55200</v>
      </c>
      <c r="G174" s="117">
        <f t="shared" ref="G174:G176" si="9">F174/E174*100</f>
        <v>99.382460436058551</v>
      </c>
      <c r="H174" s="13"/>
      <c r="I174" s="14"/>
      <c r="J174" s="14"/>
      <c r="K174" s="14"/>
    </row>
    <row r="175" spans="1:11" ht="17.25" customHeight="1" x14ac:dyDescent="0.25">
      <c r="A175" s="10"/>
      <c r="B175" s="32" t="s">
        <v>22</v>
      </c>
      <c r="C175" s="12"/>
      <c r="D175" s="12"/>
      <c r="E175" s="35">
        <f>E152+E170</f>
        <v>8655139</v>
      </c>
      <c r="F175" s="35">
        <f>F152+F170</f>
        <v>1123413.6200000001</v>
      </c>
      <c r="G175" s="117">
        <f t="shared" si="9"/>
        <v>12.97972938389551</v>
      </c>
      <c r="H175" s="13"/>
      <c r="I175" s="14"/>
      <c r="J175" s="14"/>
      <c r="K175" s="14"/>
    </row>
    <row r="176" spans="1:11" ht="17.25" customHeight="1" x14ac:dyDescent="0.25">
      <c r="A176" s="10"/>
      <c r="B176" s="32" t="s">
        <v>53</v>
      </c>
      <c r="C176" s="12"/>
      <c r="D176" s="12"/>
      <c r="E176" s="35">
        <f>E167</f>
        <v>50000</v>
      </c>
      <c r="F176" s="35">
        <f>F167</f>
        <v>0</v>
      </c>
      <c r="G176" s="117">
        <f t="shared" si="9"/>
        <v>0</v>
      </c>
      <c r="H176" s="13"/>
      <c r="I176" s="14"/>
      <c r="J176" s="14"/>
      <c r="K176" s="14"/>
    </row>
    <row r="177" spans="1:11" ht="22.5" customHeight="1" x14ac:dyDescent="0.25">
      <c r="A177" s="10"/>
      <c r="B177" s="542" t="s">
        <v>306</v>
      </c>
      <c r="C177" s="542"/>
      <c r="D177" s="542"/>
      <c r="E177" s="542"/>
      <c r="F177" s="542"/>
      <c r="G177" s="542"/>
      <c r="H177" s="542"/>
      <c r="I177" s="542"/>
      <c r="J177" s="542"/>
      <c r="K177" s="542"/>
    </row>
    <row r="178" spans="1:11" ht="24.75" customHeight="1" x14ac:dyDescent="0.25">
      <c r="A178" s="541" t="s">
        <v>145</v>
      </c>
      <c r="B178" s="541"/>
      <c r="C178" s="541"/>
      <c r="D178" s="541"/>
      <c r="E178" s="541"/>
      <c r="F178" s="541"/>
      <c r="G178" s="541"/>
      <c r="H178" s="541"/>
      <c r="I178" s="541"/>
      <c r="J178" s="541"/>
      <c r="K178" s="541"/>
    </row>
    <row r="179" spans="1:11" ht="82.5" customHeight="1" x14ac:dyDescent="0.25">
      <c r="A179" s="10">
        <v>40</v>
      </c>
      <c r="B179" s="55" t="s">
        <v>540</v>
      </c>
      <c r="C179" s="17" t="s">
        <v>14</v>
      </c>
      <c r="D179" s="17" t="s">
        <v>16</v>
      </c>
      <c r="E179" s="281">
        <v>10000</v>
      </c>
      <c r="F179" s="281">
        <v>8880</v>
      </c>
      <c r="G179" s="282">
        <f>F179/E179*100</f>
        <v>88.8</v>
      </c>
      <c r="H179" s="57">
        <v>100</v>
      </c>
      <c r="I179" s="14"/>
      <c r="J179" s="23" t="s">
        <v>351</v>
      </c>
      <c r="K179" s="14"/>
    </row>
    <row r="180" spans="1:11" s="263" customFormat="1" ht="21.75" customHeight="1" x14ac:dyDescent="0.25">
      <c r="A180" s="277"/>
      <c r="B180" s="24" t="s">
        <v>13</v>
      </c>
      <c r="C180" s="22"/>
      <c r="D180" s="22"/>
      <c r="E180" s="283">
        <v>10000</v>
      </c>
      <c r="F180" s="283">
        <v>8880</v>
      </c>
      <c r="G180" s="284">
        <f>F180/E180*100</f>
        <v>88.8</v>
      </c>
      <c r="H180" s="285"/>
      <c r="I180" s="279"/>
      <c r="J180" s="279"/>
      <c r="K180" s="279"/>
    </row>
    <row r="181" spans="1:11" ht="48.75" customHeight="1" x14ac:dyDescent="0.25">
      <c r="A181" s="10">
        <v>41</v>
      </c>
      <c r="B181" s="18" t="s">
        <v>146</v>
      </c>
      <c r="C181" s="17" t="s">
        <v>14</v>
      </c>
      <c r="D181" s="17" t="s">
        <v>16</v>
      </c>
      <c r="E181" s="281">
        <v>7000</v>
      </c>
      <c r="F181" s="281">
        <v>7000</v>
      </c>
      <c r="G181" s="282">
        <f>F181/E181*100</f>
        <v>100</v>
      </c>
      <c r="H181" s="57">
        <v>100</v>
      </c>
      <c r="I181" s="17"/>
      <c r="J181" s="23" t="s">
        <v>351</v>
      </c>
      <c r="K181" s="14"/>
    </row>
    <row r="182" spans="1:11" s="263" customFormat="1" ht="21" customHeight="1" x14ac:dyDescent="0.25">
      <c r="A182" s="277"/>
      <c r="B182" s="24" t="s">
        <v>13</v>
      </c>
      <c r="C182" s="22"/>
      <c r="D182" s="22"/>
      <c r="E182" s="283">
        <v>7000</v>
      </c>
      <c r="F182" s="283">
        <v>7000</v>
      </c>
      <c r="G182" s="284">
        <f t="shared" ref="G182:G211" si="10">F182/E182*100</f>
        <v>100</v>
      </c>
      <c r="H182" s="285"/>
      <c r="I182" s="58"/>
      <c r="J182" s="58"/>
      <c r="K182" s="279"/>
    </row>
    <row r="183" spans="1:11" ht="100.5" customHeight="1" x14ac:dyDescent="0.25">
      <c r="A183" s="10">
        <v>42</v>
      </c>
      <c r="B183" s="18" t="s">
        <v>147</v>
      </c>
      <c r="C183" s="17" t="s">
        <v>14</v>
      </c>
      <c r="D183" s="17" t="s">
        <v>45</v>
      </c>
      <c r="E183" s="281">
        <v>29530</v>
      </c>
      <c r="F183" s="281">
        <v>29520</v>
      </c>
      <c r="G183" s="282">
        <f t="shared" si="10"/>
        <v>99.966136132746357</v>
      </c>
      <c r="H183" s="57">
        <v>100</v>
      </c>
      <c r="I183" s="14"/>
      <c r="J183" s="23" t="s">
        <v>380</v>
      </c>
      <c r="K183" s="14"/>
    </row>
    <row r="184" spans="1:11" s="263" customFormat="1" ht="17.25" customHeight="1" x14ac:dyDescent="0.25">
      <c r="A184" s="277"/>
      <c r="B184" s="24" t="s">
        <v>13</v>
      </c>
      <c r="C184" s="22"/>
      <c r="D184" s="22"/>
      <c r="E184" s="283">
        <v>29530</v>
      </c>
      <c r="F184" s="283">
        <v>29520</v>
      </c>
      <c r="G184" s="284">
        <f t="shared" si="10"/>
        <v>99.966136132746357</v>
      </c>
      <c r="H184" s="285"/>
      <c r="I184" s="279"/>
      <c r="J184" s="279"/>
      <c r="K184" s="279"/>
    </row>
    <row r="185" spans="1:11" ht="132.75" customHeight="1" x14ac:dyDescent="0.25">
      <c r="A185" s="10">
        <v>43</v>
      </c>
      <c r="B185" s="18" t="s">
        <v>148</v>
      </c>
      <c r="C185" s="17" t="s">
        <v>149</v>
      </c>
      <c r="D185" s="17" t="s">
        <v>16</v>
      </c>
      <c r="E185" s="281">
        <v>30000</v>
      </c>
      <c r="F185" s="281">
        <v>29971.29</v>
      </c>
      <c r="G185" s="282">
        <f t="shared" si="10"/>
        <v>99.904300000000006</v>
      </c>
      <c r="H185" s="57">
        <v>100</v>
      </c>
      <c r="I185" s="529">
        <f>E185+E187+E189+E191+E193+E195+E200+E202+E204+E206+E208+E222+E224+E226+E228+E230+E232+E234+E236+E238+E240</f>
        <v>3580940</v>
      </c>
      <c r="J185" s="529">
        <f>F185+F187+F189+F191+F193+F195+F200+F202+F204+F206+F208+F222+F224+F226+F228+F230+F232+F234+F236+F238+F240</f>
        <v>3767324.92</v>
      </c>
      <c r="K185" s="14"/>
    </row>
    <row r="186" spans="1:11" s="263" customFormat="1" ht="17.25" customHeight="1" x14ac:dyDescent="0.25">
      <c r="A186" s="277"/>
      <c r="B186" s="24" t="s">
        <v>13</v>
      </c>
      <c r="C186" s="22"/>
      <c r="D186" s="22"/>
      <c r="E186" s="283">
        <v>30000</v>
      </c>
      <c r="F186" s="283">
        <v>29971.29</v>
      </c>
      <c r="G186" s="284">
        <f t="shared" si="10"/>
        <v>99.904300000000006</v>
      </c>
      <c r="H186" s="285"/>
      <c r="I186" s="279"/>
      <c r="J186" s="279"/>
      <c r="K186" s="279"/>
    </row>
    <row r="187" spans="1:11" ht="128.25" customHeight="1" x14ac:dyDescent="0.25">
      <c r="A187" s="10">
        <v>44</v>
      </c>
      <c r="B187" s="18" t="s">
        <v>150</v>
      </c>
      <c r="C187" s="17" t="s">
        <v>149</v>
      </c>
      <c r="D187" s="17" t="s">
        <v>175</v>
      </c>
      <c r="E187" s="281">
        <v>30000</v>
      </c>
      <c r="F187" s="281">
        <v>30000</v>
      </c>
      <c r="G187" s="282">
        <f t="shared" si="10"/>
        <v>100</v>
      </c>
      <c r="H187" s="57">
        <v>100</v>
      </c>
      <c r="I187" s="14"/>
      <c r="J187" s="23" t="s">
        <v>417</v>
      </c>
      <c r="K187" s="14"/>
    </row>
    <row r="188" spans="1:11" s="263" customFormat="1" ht="17.25" customHeight="1" x14ac:dyDescent="0.25">
      <c r="A188" s="277"/>
      <c r="B188" s="24" t="s">
        <v>13</v>
      </c>
      <c r="C188" s="22"/>
      <c r="D188" s="22"/>
      <c r="E188" s="283">
        <v>30000</v>
      </c>
      <c r="F188" s="283">
        <v>30000</v>
      </c>
      <c r="G188" s="284">
        <f t="shared" si="10"/>
        <v>100</v>
      </c>
      <c r="H188" s="285"/>
      <c r="I188" s="279"/>
      <c r="J188" s="279"/>
      <c r="K188" s="279"/>
    </row>
    <row r="189" spans="1:11" ht="163.5" customHeight="1" x14ac:dyDescent="0.25">
      <c r="A189" s="10">
        <v>45</v>
      </c>
      <c r="B189" s="18" t="s">
        <v>151</v>
      </c>
      <c r="C189" s="17" t="s">
        <v>149</v>
      </c>
      <c r="D189" s="17" t="s">
        <v>16</v>
      </c>
      <c r="E189" s="281">
        <v>28040</v>
      </c>
      <c r="F189" s="281">
        <v>28036.959999999999</v>
      </c>
      <c r="G189" s="282">
        <f t="shared" si="10"/>
        <v>99.989158345221114</v>
      </c>
      <c r="H189" s="57">
        <v>100</v>
      </c>
      <c r="I189" s="14"/>
      <c r="J189" s="23" t="s">
        <v>351</v>
      </c>
      <c r="K189" s="14"/>
    </row>
    <row r="190" spans="1:11" s="263" customFormat="1" ht="20.25" customHeight="1" x14ac:dyDescent="0.25">
      <c r="A190" s="277"/>
      <c r="B190" s="24" t="s">
        <v>13</v>
      </c>
      <c r="C190" s="22"/>
      <c r="D190" s="22"/>
      <c r="E190" s="283">
        <v>28040</v>
      </c>
      <c r="F190" s="283">
        <v>28036.959999999999</v>
      </c>
      <c r="G190" s="284">
        <f t="shared" si="10"/>
        <v>99.989158345221114</v>
      </c>
      <c r="H190" s="285"/>
      <c r="I190" s="279"/>
      <c r="J190" s="266"/>
      <c r="K190" s="279"/>
    </row>
    <row r="191" spans="1:11" ht="132" customHeight="1" x14ac:dyDescent="0.25">
      <c r="A191" s="10">
        <v>46</v>
      </c>
      <c r="B191" s="18" t="s">
        <v>152</v>
      </c>
      <c r="C191" s="17" t="s">
        <v>149</v>
      </c>
      <c r="D191" s="17" t="s">
        <v>16</v>
      </c>
      <c r="E191" s="281">
        <v>20000</v>
      </c>
      <c r="F191" s="281">
        <v>19998.89</v>
      </c>
      <c r="G191" s="282">
        <f t="shared" si="10"/>
        <v>99.994450000000001</v>
      </c>
      <c r="H191" s="57">
        <v>100</v>
      </c>
      <c r="I191" s="14"/>
      <c r="J191" s="23" t="s">
        <v>351</v>
      </c>
      <c r="K191" s="14"/>
    </row>
    <row r="192" spans="1:11" s="263" customFormat="1" ht="17.25" customHeight="1" x14ac:dyDescent="0.25">
      <c r="A192" s="277"/>
      <c r="B192" s="24" t="s">
        <v>13</v>
      </c>
      <c r="C192" s="22"/>
      <c r="D192" s="22"/>
      <c r="E192" s="283">
        <v>20000</v>
      </c>
      <c r="F192" s="283">
        <v>19998.89</v>
      </c>
      <c r="G192" s="284">
        <f t="shared" si="10"/>
        <v>99.994450000000001</v>
      </c>
      <c r="H192" s="285"/>
      <c r="I192" s="279"/>
      <c r="J192" s="266"/>
      <c r="K192" s="279"/>
    </row>
    <row r="193" spans="1:11" ht="97.5" customHeight="1" x14ac:dyDescent="0.25">
      <c r="A193" s="10">
        <v>47</v>
      </c>
      <c r="B193" s="18" t="s">
        <v>153</v>
      </c>
      <c r="C193" s="17" t="s">
        <v>149</v>
      </c>
      <c r="D193" s="17" t="s">
        <v>177</v>
      </c>
      <c r="E193" s="281">
        <v>5000</v>
      </c>
      <c r="F193" s="281">
        <v>4996.62</v>
      </c>
      <c r="G193" s="282">
        <f t="shared" si="10"/>
        <v>99.932400000000001</v>
      </c>
      <c r="H193" s="57">
        <v>100</v>
      </c>
      <c r="I193" s="14"/>
      <c r="J193" s="23" t="s">
        <v>366</v>
      </c>
      <c r="K193" s="14"/>
    </row>
    <row r="194" spans="1:11" s="263" customFormat="1" ht="17.25" customHeight="1" x14ac:dyDescent="0.25">
      <c r="A194" s="277"/>
      <c r="B194" s="24" t="s">
        <v>13</v>
      </c>
      <c r="C194" s="22"/>
      <c r="D194" s="22"/>
      <c r="E194" s="283">
        <v>5000</v>
      </c>
      <c r="F194" s="283">
        <v>4996.62</v>
      </c>
      <c r="G194" s="284">
        <f t="shared" si="10"/>
        <v>99.932400000000001</v>
      </c>
      <c r="H194" s="285"/>
      <c r="I194" s="279"/>
      <c r="J194" s="279"/>
      <c r="K194" s="279"/>
    </row>
    <row r="195" spans="1:11" ht="66.75" customHeight="1" x14ac:dyDescent="0.25">
      <c r="A195" s="10">
        <v>48</v>
      </c>
      <c r="B195" s="18" t="s">
        <v>154</v>
      </c>
      <c r="C195" s="17" t="s">
        <v>149</v>
      </c>
      <c r="D195" s="17" t="s">
        <v>16</v>
      </c>
      <c r="E195" s="281">
        <v>364500</v>
      </c>
      <c r="F195" s="281">
        <v>364500</v>
      </c>
      <c r="G195" s="282">
        <f t="shared" si="10"/>
        <v>100</v>
      </c>
      <c r="H195" s="57">
        <v>100</v>
      </c>
      <c r="I195" s="14"/>
      <c r="J195" s="23" t="s">
        <v>351</v>
      </c>
      <c r="K195" s="14"/>
    </row>
    <row r="196" spans="1:11" s="263" customFormat="1" ht="17.25" customHeight="1" x14ac:dyDescent="0.25">
      <c r="A196" s="277"/>
      <c r="B196" s="24" t="s">
        <v>13</v>
      </c>
      <c r="C196" s="22"/>
      <c r="D196" s="22"/>
      <c r="E196" s="283">
        <v>364500</v>
      </c>
      <c r="F196" s="283">
        <v>364500</v>
      </c>
      <c r="G196" s="284">
        <f t="shared" si="10"/>
        <v>100</v>
      </c>
      <c r="H196" s="285"/>
      <c r="I196" s="279"/>
      <c r="J196" s="279"/>
      <c r="K196" s="279"/>
    </row>
    <row r="197" spans="1:11" ht="17.25" customHeight="1" x14ac:dyDescent="0.25">
      <c r="A197" s="10"/>
      <c r="B197" s="18" t="s">
        <v>155</v>
      </c>
      <c r="C197" s="10"/>
      <c r="D197" s="10"/>
      <c r="E197" s="286"/>
      <c r="F197" s="281"/>
      <c r="G197" s="282"/>
      <c r="H197" s="57"/>
      <c r="I197" s="14"/>
      <c r="J197" s="14"/>
      <c r="K197" s="14"/>
    </row>
    <row r="198" spans="1:11" ht="53.25" customHeight="1" x14ac:dyDescent="0.25">
      <c r="A198" s="10"/>
      <c r="B198" s="18" t="s">
        <v>156</v>
      </c>
      <c r="C198" s="17"/>
      <c r="D198" s="17"/>
      <c r="E198" s="281">
        <v>20000</v>
      </c>
      <c r="F198" s="281">
        <v>20000</v>
      </c>
      <c r="G198" s="282">
        <f t="shared" si="10"/>
        <v>100</v>
      </c>
      <c r="H198" s="57"/>
      <c r="I198" s="14"/>
      <c r="J198" s="14"/>
      <c r="K198" s="14"/>
    </row>
    <row r="199" spans="1:11" ht="84" customHeight="1" x14ac:dyDescent="0.25">
      <c r="A199" s="10"/>
      <c r="B199" s="18" t="s">
        <v>157</v>
      </c>
      <c r="C199" s="17"/>
      <c r="D199" s="17"/>
      <c r="E199" s="281">
        <v>344500</v>
      </c>
      <c r="F199" s="281">
        <v>344500</v>
      </c>
      <c r="G199" s="282">
        <f t="shared" si="10"/>
        <v>100</v>
      </c>
      <c r="H199" s="57"/>
      <c r="I199" s="14"/>
      <c r="J199" s="14"/>
      <c r="K199" s="14"/>
    </row>
    <row r="200" spans="1:11" ht="64.5" customHeight="1" x14ac:dyDescent="0.25">
      <c r="A200" s="10">
        <v>49</v>
      </c>
      <c r="B200" s="18" t="s">
        <v>158</v>
      </c>
      <c r="C200" s="17" t="s">
        <v>149</v>
      </c>
      <c r="D200" s="17" t="s">
        <v>57</v>
      </c>
      <c r="E200" s="281">
        <v>30000</v>
      </c>
      <c r="F200" s="281">
        <v>30000</v>
      </c>
      <c r="G200" s="282">
        <f t="shared" si="10"/>
        <v>100</v>
      </c>
      <c r="H200" s="57">
        <v>100</v>
      </c>
      <c r="I200" s="14"/>
      <c r="J200" s="23" t="s">
        <v>522</v>
      </c>
      <c r="K200" s="14"/>
    </row>
    <row r="201" spans="1:11" s="263" customFormat="1" ht="17.25" customHeight="1" x14ac:dyDescent="0.25">
      <c r="A201" s="277"/>
      <c r="B201" s="24" t="s">
        <v>13</v>
      </c>
      <c r="C201" s="22"/>
      <c r="D201" s="22"/>
      <c r="E201" s="283">
        <v>30000</v>
      </c>
      <c r="F201" s="283">
        <v>30000</v>
      </c>
      <c r="G201" s="284">
        <f t="shared" si="10"/>
        <v>100</v>
      </c>
      <c r="H201" s="285"/>
      <c r="I201" s="279"/>
      <c r="J201" s="279"/>
      <c r="K201" s="279"/>
    </row>
    <row r="202" spans="1:11" ht="78.75" customHeight="1" x14ac:dyDescent="0.25">
      <c r="A202" s="10">
        <v>50</v>
      </c>
      <c r="B202" s="18" t="s">
        <v>159</v>
      </c>
      <c r="C202" s="17" t="s">
        <v>149</v>
      </c>
      <c r="D202" s="17" t="s">
        <v>16</v>
      </c>
      <c r="E202" s="281">
        <v>150102.79999999999</v>
      </c>
      <c r="F202" s="281">
        <v>150102.79999999999</v>
      </c>
      <c r="G202" s="282">
        <f t="shared" si="10"/>
        <v>100</v>
      </c>
      <c r="H202" s="57">
        <v>100</v>
      </c>
      <c r="I202" s="14"/>
      <c r="J202" s="23" t="s">
        <v>351</v>
      </c>
      <c r="K202" s="14"/>
    </row>
    <row r="203" spans="1:11" s="263" customFormat="1" ht="17.25" customHeight="1" x14ac:dyDescent="0.25">
      <c r="A203" s="277"/>
      <c r="B203" s="24" t="s">
        <v>13</v>
      </c>
      <c r="C203" s="277"/>
      <c r="D203" s="22"/>
      <c r="E203" s="283">
        <v>150102.79999999999</v>
      </c>
      <c r="F203" s="283">
        <v>150102.79999999999</v>
      </c>
      <c r="G203" s="284">
        <f t="shared" si="10"/>
        <v>100</v>
      </c>
      <c r="H203" s="285"/>
      <c r="I203" s="279"/>
      <c r="J203" s="279"/>
      <c r="K203" s="279"/>
    </row>
    <row r="204" spans="1:11" ht="52.5" customHeight="1" x14ac:dyDescent="0.25">
      <c r="A204" s="10">
        <v>51</v>
      </c>
      <c r="B204" s="18" t="s">
        <v>160</v>
      </c>
      <c r="C204" s="17" t="s">
        <v>149</v>
      </c>
      <c r="D204" s="17" t="s">
        <v>175</v>
      </c>
      <c r="E204" s="281">
        <v>130000</v>
      </c>
      <c r="F204" s="281">
        <v>128528.33</v>
      </c>
      <c r="G204" s="282">
        <f t="shared" si="10"/>
        <v>98.867946153846148</v>
      </c>
      <c r="H204" s="57">
        <v>100</v>
      </c>
      <c r="I204" s="14"/>
      <c r="J204" s="23" t="s">
        <v>417</v>
      </c>
      <c r="K204" s="14"/>
    </row>
    <row r="205" spans="1:11" s="263" customFormat="1" ht="24.75" customHeight="1" x14ac:dyDescent="0.25">
      <c r="A205" s="277"/>
      <c r="B205" s="61" t="s">
        <v>13</v>
      </c>
      <c r="C205" s="22"/>
      <c r="D205" s="22"/>
      <c r="E205" s="283">
        <v>130000</v>
      </c>
      <c r="F205" s="283">
        <v>128528.33</v>
      </c>
      <c r="G205" s="284">
        <f t="shared" si="10"/>
        <v>98.867946153846148</v>
      </c>
      <c r="H205" s="285"/>
      <c r="I205" s="279"/>
      <c r="J205" s="266"/>
      <c r="K205" s="279"/>
    </row>
    <row r="206" spans="1:11" ht="129.75" customHeight="1" x14ac:dyDescent="0.25">
      <c r="A206" s="10">
        <v>52</v>
      </c>
      <c r="B206" s="18" t="s">
        <v>161</v>
      </c>
      <c r="C206" s="17" t="s">
        <v>149</v>
      </c>
      <c r="D206" s="17" t="s">
        <v>175</v>
      </c>
      <c r="E206" s="281">
        <v>20000</v>
      </c>
      <c r="F206" s="281">
        <v>19847.14</v>
      </c>
      <c r="G206" s="282">
        <f t="shared" si="10"/>
        <v>99.235699999999994</v>
      </c>
      <c r="H206" s="57">
        <v>100</v>
      </c>
      <c r="I206" s="14"/>
      <c r="J206" s="23" t="s">
        <v>417</v>
      </c>
      <c r="K206" s="14"/>
    </row>
    <row r="207" spans="1:11" s="263" customFormat="1" ht="17.25" customHeight="1" x14ac:dyDescent="0.25">
      <c r="A207" s="277"/>
      <c r="B207" s="24" t="s">
        <v>13</v>
      </c>
      <c r="C207" s="22"/>
      <c r="D207" s="22"/>
      <c r="E207" s="283">
        <v>20000</v>
      </c>
      <c r="F207" s="283">
        <v>19847.14</v>
      </c>
      <c r="G207" s="284">
        <f t="shared" si="10"/>
        <v>99.235699999999994</v>
      </c>
      <c r="H207" s="285"/>
      <c r="I207" s="279"/>
      <c r="J207" s="279"/>
      <c r="K207" s="279"/>
    </row>
    <row r="208" spans="1:11" ht="144" customHeight="1" x14ac:dyDescent="0.25">
      <c r="A208" s="10">
        <v>53</v>
      </c>
      <c r="B208" s="18" t="s">
        <v>162</v>
      </c>
      <c r="C208" s="17" t="s">
        <v>149</v>
      </c>
      <c r="D208" s="17" t="s">
        <v>16</v>
      </c>
      <c r="E208" s="281">
        <f>E209</f>
        <v>860883</v>
      </c>
      <c r="F208" s="281">
        <f>F209</f>
        <v>860752.81</v>
      </c>
      <c r="G208" s="282">
        <f t="shared" si="10"/>
        <v>99.984877155199953</v>
      </c>
      <c r="H208" s="57">
        <v>100</v>
      </c>
      <c r="I208" s="14"/>
      <c r="J208" s="23" t="s">
        <v>351</v>
      </c>
      <c r="K208" s="14"/>
    </row>
    <row r="209" spans="1:11" s="263" customFormat="1" ht="17.25" customHeight="1" x14ac:dyDescent="0.25">
      <c r="A209" s="277"/>
      <c r="B209" s="24" t="s">
        <v>13</v>
      </c>
      <c r="C209" s="22"/>
      <c r="D209" s="22"/>
      <c r="E209" s="283">
        <f>E211+E214+E218+E220</f>
        <v>860883</v>
      </c>
      <c r="F209" s="283">
        <f>F211+F214+F218+F220</f>
        <v>860752.81</v>
      </c>
      <c r="G209" s="284">
        <f t="shared" si="10"/>
        <v>99.984877155199953</v>
      </c>
      <c r="H209" s="285"/>
      <c r="I209" s="279"/>
      <c r="J209" s="279"/>
      <c r="K209" s="279"/>
    </row>
    <row r="210" spans="1:11" ht="17.25" customHeight="1" x14ac:dyDescent="0.25">
      <c r="A210" s="10"/>
      <c r="B210" s="18" t="s">
        <v>163</v>
      </c>
      <c r="C210" s="17"/>
      <c r="D210" s="17"/>
      <c r="E210" s="281"/>
      <c r="F210" s="281"/>
      <c r="G210" s="282"/>
      <c r="H210" s="57"/>
      <c r="I210" s="14"/>
      <c r="J210" s="14"/>
      <c r="K210" s="14"/>
    </row>
    <row r="211" spans="1:11" ht="17.25" customHeight="1" x14ac:dyDescent="0.25">
      <c r="A211" s="10"/>
      <c r="B211" s="18" t="s">
        <v>164</v>
      </c>
      <c r="C211" s="10"/>
      <c r="D211" s="10"/>
      <c r="E211" s="281">
        <f>E213</f>
        <v>200000</v>
      </c>
      <c r="F211" s="281">
        <v>199869.81</v>
      </c>
      <c r="G211" s="282">
        <f t="shared" si="10"/>
        <v>99.934905000000001</v>
      </c>
      <c r="H211" s="57"/>
      <c r="I211" s="14"/>
      <c r="J211" s="14"/>
      <c r="K211" s="14"/>
    </row>
    <row r="212" spans="1:11" ht="17.25" customHeight="1" x14ac:dyDescent="0.25">
      <c r="A212" s="10"/>
      <c r="B212" s="18" t="s">
        <v>155</v>
      </c>
      <c r="C212" s="17"/>
      <c r="D212" s="17"/>
      <c r="E212" s="281"/>
      <c r="F212" s="281"/>
      <c r="G212" s="282"/>
      <c r="H212" s="57"/>
      <c r="I212" s="14"/>
      <c r="J212" s="14"/>
      <c r="K212" s="14"/>
    </row>
    <row r="213" spans="1:11" ht="51" customHeight="1" x14ac:dyDescent="0.25">
      <c r="A213" s="10"/>
      <c r="B213" s="18" t="s">
        <v>165</v>
      </c>
      <c r="C213" s="62"/>
      <c r="D213" s="62"/>
      <c r="E213" s="281">
        <v>200000</v>
      </c>
      <c r="F213" s="281">
        <v>199869.81</v>
      </c>
      <c r="G213" s="282">
        <f t="shared" ref="G213:G243" si="11">F213/E213*100</f>
        <v>99.934905000000001</v>
      </c>
      <c r="H213" s="57"/>
      <c r="I213" s="14"/>
      <c r="J213" s="14"/>
      <c r="K213" s="14"/>
    </row>
    <row r="214" spans="1:11" ht="17.25" customHeight="1" x14ac:dyDescent="0.25">
      <c r="A214" s="10"/>
      <c r="B214" s="18" t="s">
        <v>166</v>
      </c>
      <c r="C214" s="62"/>
      <c r="D214" s="62"/>
      <c r="E214" s="281">
        <f>E216+E217</f>
        <v>380883</v>
      </c>
      <c r="F214" s="281">
        <f>F216+F217</f>
        <v>380883</v>
      </c>
      <c r="G214" s="282">
        <f t="shared" si="11"/>
        <v>100</v>
      </c>
      <c r="H214" s="57"/>
      <c r="I214" s="14"/>
      <c r="J214" s="14"/>
      <c r="K214" s="14"/>
    </row>
    <row r="215" spans="1:11" ht="17.25" customHeight="1" x14ac:dyDescent="0.25">
      <c r="A215" s="10"/>
      <c r="B215" s="18" t="s">
        <v>155</v>
      </c>
      <c r="C215" s="62"/>
      <c r="D215" s="62"/>
      <c r="E215" s="281"/>
      <c r="F215" s="281"/>
      <c r="G215" s="282"/>
      <c r="H215" s="57"/>
      <c r="I215" s="14"/>
      <c r="J215" s="14"/>
      <c r="K215" s="14"/>
    </row>
    <row r="216" spans="1:11" ht="50.25" customHeight="1" x14ac:dyDescent="0.25">
      <c r="A216" s="10"/>
      <c r="B216" s="18" t="s">
        <v>167</v>
      </c>
      <c r="C216" s="62"/>
      <c r="D216" s="62"/>
      <c r="E216" s="281">
        <v>130000</v>
      </c>
      <c r="F216" s="281">
        <v>131514.22</v>
      </c>
      <c r="G216" s="282">
        <f t="shared" si="11"/>
        <v>101.1647846153846</v>
      </c>
      <c r="H216" s="57"/>
      <c r="I216" s="14"/>
      <c r="J216" s="14"/>
      <c r="K216" s="14"/>
    </row>
    <row r="217" spans="1:11" ht="54.75" customHeight="1" x14ac:dyDescent="0.25">
      <c r="A217" s="10"/>
      <c r="B217" s="18" t="s">
        <v>168</v>
      </c>
      <c r="C217" s="62"/>
      <c r="D217" s="62"/>
      <c r="E217" s="281">
        <v>250883</v>
      </c>
      <c r="F217" s="281">
        <v>249368.78</v>
      </c>
      <c r="G217" s="282">
        <f t="shared" si="11"/>
        <v>99.396443760637425</v>
      </c>
      <c r="H217" s="57"/>
      <c r="I217" s="14"/>
      <c r="J217" s="14"/>
      <c r="K217" s="14"/>
    </row>
    <row r="218" spans="1:11" ht="19.5" customHeight="1" x14ac:dyDescent="0.25">
      <c r="A218" s="10"/>
      <c r="B218" s="18" t="s">
        <v>169</v>
      </c>
      <c r="C218" s="17"/>
      <c r="D218" s="17"/>
      <c r="E218" s="281">
        <f>E219</f>
        <v>100000</v>
      </c>
      <c r="F218" s="281">
        <f>F219</f>
        <v>100000</v>
      </c>
      <c r="G218" s="282">
        <f t="shared" si="11"/>
        <v>100</v>
      </c>
      <c r="H218" s="57"/>
      <c r="I218" s="14"/>
      <c r="J218" s="14"/>
      <c r="K218" s="14"/>
    </row>
    <row r="219" spans="1:11" ht="56.25" customHeight="1" x14ac:dyDescent="0.25">
      <c r="A219" s="10"/>
      <c r="B219" s="18" t="s">
        <v>170</v>
      </c>
      <c r="C219" s="10"/>
      <c r="D219" s="10"/>
      <c r="E219" s="281">
        <v>100000</v>
      </c>
      <c r="F219" s="281">
        <v>100000</v>
      </c>
      <c r="G219" s="282">
        <f t="shared" si="11"/>
        <v>100</v>
      </c>
      <c r="H219" s="57"/>
      <c r="I219" s="14"/>
      <c r="J219" s="14"/>
      <c r="K219" s="14"/>
    </row>
    <row r="220" spans="1:11" ht="18.75" customHeight="1" x14ac:dyDescent="0.25">
      <c r="A220" s="10"/>
      <c r="B220" s="18" t="s">
        <v>171</v>
      </c>
      <c r="C220" s="10"/>
      <c r="D220" s="10"/>
      <c r="E220" s="281">
        <f>E221</f>
        <v>180000</v>
      </c>
      <c r="F220" s="281">
        <f>F221</f>
        <v>180000</v>
      </c>
      <c r="G220" s="282">
        <f t="shared" si="11"/>
        <v>100</v>
      </c>
      <c r="H220" s="57"/>
      <c r="I220" s="14"/>
      <c r="J220" s="14"/>
      <c r="K220" s="14"/>
    </row>
    <row r="221" spans="1:11" ht="72" customHeight="1" x14ac:dyDescent="0.25">
      <c r="A221" s="10"/>
      <c r="B221" s="18" t="s">
        <v>172</v>
      </c>
      <c r="C221" s="62"/>
      <c r="D221" s="62"/>
      <c r="E221" s="281">
        <v>180000</v>
      </c>
      <c r="F221" s="281">
        <v>180000</v>
      </c>
      <c r="G221" s="282">
        <f t="shared" si="11"/>
        <v>100</v>
      </c>
      <c r="H221" s="57"/>
      <c r="I221" s="14"/>
      <c r="J221" s="14"/>
      <c r="K221" s="14"/>
    </row>
    <row r="222" spans="1:11" ht="95.25" customHeight="1" x14ac:dyDescent="0.25">
      <c r="A222" s="10">
        <v>54</v>
      </c>
      <c r="B222" s="18" t="s">
        <v>173</v>
      </c>
      <c r="C222" s="17" t="s">
        <v>149</v>
      </c>
      <c r="D222" s="17" t="s">
        <v>16</v>
      </c>
      <c r="E222" s="281">
        <v>16673.2</v>
      </c>
      <c r="F222" s="281">
        <v>16673</v>
      </c>
      <c r="G222" s="282">
        <f t="shared" si="11"/>
        <v>99.99880047021567</v>
      </c>
      <c r="H222" s="57">
        <v>100</v>
      </c>
      <c r="I222" s="18"/>
      <c r="J222" s="23" t="s">
        <v>351</v>
      </c>
      <c r="K222" s="18"/>
    </row>
    <row r="223" spans="1:11" s="263" customFormat="1" ht="17.25" customHeight="1" x14ac:dyDescent="0.25">
      <c r="A223" s="277"/>
      <c r="B223" s="26" t="s">
        <v>13</v>
      </c>
      <c r="C223" s="22"/>
      <c r="D223" s="22"/>
      <c r="E223" s="283">
        <v>16673.2</v>
      </c>
      <c r="F223" s="283">
        <v>16673</v>
      </c>
      <c r="G223" s="284">
        <f t="shared" si="11"/>
        <v>99.99880047021567</v>
      </c>
      <c r="H223" s="285"/>
      <c r="I223" s="287"/>
      <c r="J223" s="279"/>
      <c r="K223" s="279"/>
    </row>
    <row r="224" spans="1:11" ht="66" customHeight="1" x14ac:dyDescent="0.25">
      <c r="A224" s="10">
        <v>55</v>
      </c>
      <c r="B224" s="18" t="s">
        <v>174</v>
      </c>
      <c r="C224" s="62" t="s">
        <v>149</v>
      </c>
      <c r="D224" s="17" t="s">
        <v>57</v>
      </c>
      <c r="E224" s="281">
        <v>6000</v>
      </c>
      <c r="F224" s="281">
        <v>6000</v>
      </c>
      <c r="G224" s="282">
        <f t="shared" si="11"/>
        <v>100</v>
      </c>
      <c r="H224" s="57">
        <v>100</v>
      </c>
      <c r="I224" s="53"/>
      <c r="J224" s="23" t="s">
        <v>522</v>
      </c>
      <c r="K224" s="14"/>
    </row>
    <row r="225" spans="1:11" s="263" customFormat="1" ht="17.25" customHeight="1" x14ac:dyDescent="0.25">
      <c r="A225" s="277"/>
      <c r="B225" s="24" t="s">
        <v>13</v>
      </c>
      <c r="C225" s="288"/>
      <c r="D225" s="22"/>
      <c r="E225" s="283">
        <v>6000</v>
      </c>
      <c r="F225" s="283">
        <v>6000</v>
      </c>
      <c r="G225" s="284">
        <f t="shared" si="11"/>
        <v>100</v>
      </c>
      <c r="H225" s="285"/>
      <c r="I225" s="287"/>
      <c r="J225" s="279"/>
      <c r="K225" s="279"/>
    </row>
    <row r="226" spans="1:11" ht="69.75" customHeight="1" x14ac:dyDescent="0.25">
      <c r="A226" s="10">
        <v>56</v>
      </c>
      <c r="B226" s="18" t="s">
        <v>178</v>
      </c>
      <c r="C226" s="62" t="s">
        <v>149</v>
      </c>
      <c r="D226" s="17" t="s">
        <v>16</v>
      </c>
      <c r="E226" s="281">
        <v>10000</v>
      </c>
      <c r="F226" s="281">
        <v>10000</v>
      </c>
      <c r="G226" s="282">
        <f t="shared" si="11"/>
        <v>100</v>
      </c>
      <c r="H226" s="57">
        <v>100</v>
      </c>
      <c r="I226" s="14"/>
      <c r="J226" s="23" t="s">
        <v>351</v>
      </c>
      <c r="K226" s="14"/>
    </row>
    <row r="227" spans="1:11" s="263" customFormat="1" ht="17.25" customHeight="1" x14ac:dyDescent="0.25">
      <c r="A227" s="277"/>
      <c r="B227" s="24" t="s">
        <v>13</v>
      </c>
      <c r="C227" s="288"/>
      <c r="D227" s="22"/>
      <c r="E227" s="283">
        <v>10000</v>
      </c>
      <c r="F227" s="283">
        <v>10000</v>
      </c>
      <c r="G227" s="284">
        <f t="shared" si="11"/>
        <v>100</v>
      </c>
      <c r="H227" s="285"/>
      <c r="I227" s="279"/>
      <c r="J227" s="279"/>
      <c r="K227" s="279"/>
    </row>
    <row r="228" spans="1:11" ht="50.25" customHeight="1" x14ac:dyDescent="0.25">
      <c r="A228" s="10">
        <v>57</v>
      </c>
      <c r="B228" s="18" t="s">
        <v>179</v>
      </c>
      <c r="C228" s="62" t="s">
        <v>149</v>
      </c>
      <c r="D228" s="17" t="s">
        <v>16</v>
      </c>
      <c r="E228" s="281">
        <v>5000</v>
      </c>
      <c r="F228" s="281">
        <v>4957.2</v>
      </c>
      <c r="G228" s="282">
        <f t="shared" si="11"/>
        <v>99.144000000000005</v>
      </c>
      <c r="H228" s="57">
        <v>100</v>
      </c>
      <c r="I228" s="14"/>
      <c r="J228" s="23" t="s">
        <v>351</v>
      </c>
      <c r="K228" s="14"/>
    </row>
    <row r="229" spans="1:11" s="263" customFormat="1" ht="17.25" customHeight="1" x14ac:dyDescent="0.25">
      <c r="A229" s="277"/>
      <c r="B229" s="61" t="s">
        <v>13</v>
      </c>
      <c r="C229" s="288"/>
      <c r="D229" s="22"/>
      <c r="E229" s="283">
        <v>5000</v>
      </c>
      <c r="F229" s="283">
        <v>4957.2</v>
      </c>
      <c r="G229" s="284">
        <f t="shared" si="11"/>
        <v>99.144000000000005</v>
      </c>
      <c r="H229" s="285"/>
      <c r="I229" s="279"/>
      <c r="J229" s="279"/>
      <c r="K229" s="279"/>
    </row>
    <row r="230" spans="1:11" s="294" customFormat="1" ht="50.25" customHeight="1" x14ac:dyDescent="0.25">
      <c r="A230" s="289">
        <v>58</v>
      </c>
      <c r="B230" s="55" t="s">
        <v>541</v>
      </c>
      <c r="C230" s="67" t="s">
        <v>149</v>
      </c>
      <c r="D230" s="68" t="s">
        <v>290</v>
      </c>
      <c r="E230" s="290">
        <v>10000</v>
      </c>
      <c r="F230" s="290">
        <v>9999.36</v>
      </c>
      <c r="G230" s="291">
        <f t="shared" si="11"/>
        <v>99.993600000000001</v>
      </c>
      <c r="H230" s="70">
        <v>100</v>
      </c>
      <c r="I230" s="292"/>
      <c r="J230" s="293" t="s">
        <v>417</v>
      </c>
      <c r="K230" s="292"/>
    </row>
    <row r="231" spans="1:11" s="263" customFormat="1" ht="18.75" customHeight="1" x14ac:dyDescent="0.25">
      <c r="A231" s="277"/>
      <c r="B231" s="61" t="s">
        <v>13</v>
      </c>
      <c r="C231" s="288"/>
      <c r="D231" s="22"/>
      <c r="E231" s="283">
        <v>10000</v>
      </c>
      <c r="F231" s="283">
        <v>9999.36</v>
      </c>
      <c r="G231" s="284">
        <f t="shared" si="11"/>
        <v>99.993600000000001</v>
      </c>
      <c r="H231" s="285"/>
      <c r="I231" s="279"/>
      <c r="J231" s="279"/>
      <c r="K231" s="279"/>
    </row>
    <row r="232" spans="1:11" ht="114" customHeight="1" x14ac:dyDescent="0.25">
      <c r="A232" s="10">
        <v>59</v>
      </c>
      <c r="B232" s="18" t="s">
        <v>180</v>
      </c>
      <c r="C232" s="62" t="s">
        <v>149</v>
      </c>
      <c r="D232" s="17" t="s">
        <v>16</v>
      </c>
      <c r="E232" s="281">
        <v>7000</v>
      </c>
      <c r="F232" s="281">
        <v>7000</v>
      </c>
      <c r="G232" s="282">
        <f t="shared" si="11"/>
        <v>100</v>
      </c>
      <c r="H232" s="57">
        <v>100</v>
      </c>
      <c r="I232" s="14"/>
      <c r="J232" s="23" t="s">
        <v>351</v>
      </c>
      <c r="K232" s="14"/>
    </row>
    <row r="233" spans="1:11" s="263" customFormat="1" ht="17.25" customHeight="1" x14ac:dyDescent="0.25">
      <c r="A233" s="277"/>
      <c r="B233" s="61" t="s">
        <v>13</v>
      </c>
      <c r="C233" s="288"/>
      <c r="D233" s="22"/>
      <c r="E233" s="283">
        <v>7000</v>
      </c>
      <c r="F233" s="283">
        <v>7000</v>
      </c>
      <c r="G233" s="284">
        <f t="shared" si="11"/>
        <v>100</v>
      </c>
      <c r="H233" s="285"/>
      <c r="I233" s="279"/>
      <c r="J233" s="279"/>
      <c r="K233" s="279"/>
    </row>
    <row r="234" spans="1:11" ht="117.75" customHeight="1" x14ac:dyDescent="0.25">
      <c r="A234" s="10">
        <v>60</v>
      </c>
      <c r="B234" s="55" t="s">
        <v>181</v>
      </c>
      <c r="C234" s="62" t="s">
        <v>149</v>
      </c>
      <c r="D234" s="17" t="s">
        <v>16</v>
      </c>
      <c r="E234" s="281">
        <v>5000</v>
      </c>
      <c r="F234" s="281">
        <v>5000</v>
      </c>
      <c r="G234" s="282">
        <f t="shared" si="11"/>
        <v>100</v>
      </c>
      <c r="H234" s="57">
        <v>100</v>
      </c>
      <c r="I234" s="14"/>
      <c r="J234" s="23" t="s">
        <v>351</v>
      </c>
      <c r="K234" s="14"/>
    </row>
    <row r="235" spans="1:11" s="263" customFormat="1" ht="17.25" customHeight="1" x14ac:dyDescent="0.25">
      <c r="A235" s="277"/>
      <c r="B235" s="61" t="s">
        <v>13</v>
      </c>
      <c r="C235" s="288"/>
      <c r="D235" s="22"/>
      <c r="E235" s="283">
        <v>5000</v>
      </c>
      <c r="F235" s="283">
        <v>5000</v>
      </c>
      <c r="G235" s="284">
        <f t="shared" si="11"/>
        <v>100</v>
      </c>
      <c r="H235" s="285"/>
      <c r="I235" s="279"/>
      <c r="J235" s="279"/>
      <c r="K235" s="279"/>
    </row>
    <row r="236" spans="1:11" ht="82.5" customHeight="1" x14ac:dyDescent="0.25">
      <c r="A236" s="10">
        <v>61</v>
      </c>
      <c r="B236" s="55" t="s">
        <v>182</v>
      </c>
      <c r="C236" s="62" t="s">
        <v>149</v>
      </c>
      <c r="D236" s="17" t="s">
        <v>16</v>
      </c>
      <c r="E236" s="281">
        <v>60000</v>
      </c>
      <c r="F236" s="281">
        <v>59995.13</v>
      </c>
      <c r="G236" s="282">
        <f t="shared" si="11"/>
        <v>99.991883333333334</v>
      </c>
      <c r="H236" s="57">
        <v>100</v>
      </c>
      <c r="I236" s="14"/>
      <c r="J236" s="23" t="s">
        <v>351</v>
      </c>
      <c r="K236" s="14"/>
    </row>
    <row r="237" spans="1:11" s="263" customFormat="1" ht="17.25" customHeight="1" x14ac:dyDescent="0.25">
      <c r="A237" s="277"/>
      <c r="B237" s="61" t="s">
        <v>13</v>
      </c>
      <c r="C237" s="288"/>
      <c r="D237" s="22"/>
      <c r="E237" s="283">
        <v>60000</v>
      </c>
      <c r="F237" s="283">
        <v>59995.13</v>
      </c>
      <c r="G237" s="284">
        <f t="shared" si="11"/>
        <v>99.991883333333334</v>
      </c>
      <c r="H237" s="285"/>
      <c r="I237" s="279"/>
      <c r="J237" s="279"/>
      <c r="K237" s="279"/>
    </row>
    <row r="238" spans="1:11" ht="111.75" customHeight="1" x14ac:dyDescent="0.25">
      <c r="A238" s="10">
        <v>62</v>
      </c>
      <c r="B238" s="55" t="s">
        <v>183</v>
      </c>
      <c r="C238" s="62" t="s">
        <v>149</v>
      </c>
      <c r="D238" s="17" t="s">
        <v>57</v>
      </c>
      <c r="E238" s="281">
        <v>30000</v>
      </c>
      <c r="F238" s="281">
        <v>30000</v>
      </c>
      <c r="G238" s="282">
        <f t="shared" si="11"/>
        <v>100</v>
      </c>
      <c r="H238" s="57">
        <v>100</v>
      </c>
      <c r="I238" s="14"/>
      <c r="J238" s="23" t="s">
        <v>522</v>
      </c>
      <c r="K238" s="14"/>
    </row>
    <row r="239" spans="1:11" s="263" customFormat="1" ht="17.25" customHeight="1" x14ac:dyDescent="0.25">
      <c r="A239" s="277"/>
      <c r="B239" s="61" t="s">
        <v>13</v>
      </c>
      <c r="C239" s="288"/>
      <c r="D239" s="288"/>
      <c r="E239" s="283">
        <v>30000</v>
      </c>
      <c r="F239" s="283">
        <v>30000</v>
      </c>
      <c r="G239" s="284">
        <f t="shared" si="11"/>
        <v>100</v>
      </c>
      <c r="H239" s="285"/>
      <c r="I239" s="279"/>
      <c r="J239" s="279"/>
      <c r="K239" s="279"/>
    </row>
    <row r="240" spans="1:11" ht="111.75" customHeight="1" x14ac:dyDescent="0.25">
      <c r="A240" s="10">
        <v>63</v>
      </c>
      <c r="B240" s="55" t="s">
        <v>184</v>
      </c>
      <c r="C240" s="62" t="s">
        <v>149</v>
      </c>
      <c r="D240" s="17" t="s">
        <v>16</v>
      </c>
      <c r="E240" s="281">
        <v>1762741</v>
      </c>
      <c r="F240" s="281">
        <v>1950965.39</v>
      </c>
      <c r="G240" s="282">
        <f t="shared" si="11"/>
        <v>110.67793793869886</v>
      </c>
      <c r="H240" s="57">
        <v>100</v>
      </c>
      <c r="I240" s="14"/>
      <c r="J240" s="23" t="s">
        <v>351</v>
      </c>
      <c r="K240" s="14"/>
    </row>
    <row r="241" spans="1:11" s="263" customFormat="1" ht="17.25" customHeight="1" x14ac:dyDescent="0.25">
      <c r="A241" s="277"/>
      <c r="B241" s="61" t="s">
        <v>13</v>
      </c>
      <c r="C241" s="288"/>
      <c r="D241" s="22"/>
      <c r="E241" s="283">
        <v>1762741</v>
      </c>
      <c r="F241" s="283">
        <v>1950965.39</v>
      </c>
      <c r="G241" s="284">
        <f t="shared" si="11"/>
        <v>110.67793793869886</v>
      </c>
      <c r="H241" s="285"/>
      <c r="I241" s="279"/>
      <c r="J241" s="279"/>
      <c r="K241" s="279"/>
    </row>
    <row r="242" spans="1:11" ht="50.25" customHeight="1" x14ac:dyDescent="0.25">
      <c r="A242" s="10">
        <v>64</v>
      </c>
      <c r="B242" s="55" t="s">
        <v>185</v>
      </c>
      <c r="C242" s="62" t="s">
        <v>48</v>
      </c>
      <c r="D242" s="17" t="s">
        <v>16</v>
      </c>
      <c r="E242" s="281">
        <v>187637</v>
      </c>
      <c r="F242" s="281">
        <v>117465.19</v>
      </c>
      <c r="G242" s="282">
        <f t="shared" si="11"/>
        <v>62.602359875717475</v>
      </c>
      <c r="H242" s="57">
        <v>100</v>
      </c>
      <c r="I242" s="55"/>
      <c r="J242" s="23" t="s">
        <v>351</v>
      </c>
      <c r="K242" s="14"/>
    </row>
    <row r="243" spans="1:11" s="263" customFormat="1" ht="17.25" customHeight="1" x14ac:dyDescent="0.25">
      <c r="A243" s="277"/>
      <c r="B243" s="61" t="s">
        <v>13</v>
      </c>
      <c r="C243" s="288"/>
      <c r="D243" s="22"/>
      <c r="E243" s="283">
        <v>187637</v>
      </c>
      <c r="F243" s="283">
        <v>117465.19</v>
      </c>
      <c r="G243" s="284">
        <f t="shared" si="11"/>
        <v>62.602359875717475</v>
      </c>
      <c r="H243" s="285"/>
      <c r="I243" s="76"/>
      <c r="J243" s="279"/>
      <c r="K243" s="279"/>
    </row>
    <row r="244" spans="1:11" ht="97.5" customHeight="1" x14ac:dyDescent="0.25">
      <c r="A244" s="10">
        <v>65</v>
      </c>
      <c r="B244" s="55" t="s">
        <v>542</v>
      </c>
      <c r="C244" s="62" t="s">
        <v>186</v>
      </c>
      <c r="D244" s="17" t="s">
        <v>45</v>
      </c>
      <c r="E244" s="281">
        <v>0</v>
      </c>
      <c r="F244" s="281">
        <v>0</v>
      </c>
      <c r="G244" s="282"/>
      <c r="H244" s="57">
        <v>100</v>
      </c>
      <c r="I244" s="55"/>
      <c r="J244" s="37" t="s">
        <v>380</v>
      </c>
      <c r="K244" s="55"/>
    </row>
    <row r="245" spans="1:11" ht="99" customHeight="1" x14ac:dyDescent="0.25">
      <c r="A245" s="10">
        <v>66</v>
      </c>
      <c r="B245" s="55" t="s">
        <v>187</v>
      </c>
      <c r="C245" s="62" t="s">
        <v>186</v>
      </c>
      <c r="D245" s="17" t="s">
        <v>177</v>
      </c>
      <c r="E245" s="281">
        <v>15000</v>
      </c>
      <c r="F245" s="281">
        <v>13400</v>
      </c>
      <c r="G245" s="282">
        <f t="shared" ref="G245:G308" si="12">F245/E245*100</f>
        <v>89.333333333333329</v>
      </c>
      <c r="H245" s="57">
        <v>100</v>
      </c>
      <c r="I245" s="14"/>
      <c r="J245" s="23" t="s">
        <v>401</v>
      </c>
      <c r="K245" s="14"/>
    </row>
    <row r="246" spans="1:11" s="263" customFormat="1" ht="17.25" customHeight="1" x14ac:dyDescent="0.25">
      <c r="A246" s="277"/>
      <c r="B246" s="61" t="s">
        <v>22</v>
      </c>
      <c r="C246" s="288"/>
      <c r="D246" s="22"/>
      <c r="E246" s="283">
        <v>15000</v>
      </c>
      <c r="F246" s="283">
        <v>13400</v>
      </c>
      <c r="G246" s="284">
        <f t="shared" si="12"/>
        <v>89.333333333333329</v>
      </c>
      <c r="H246" s="285"/>
      <c r="I246" s="279"/>
      <c r="J246" s="266"/>
      <c r="K246" s="279"/>
    </row>
    <row r="247" spans="1:11" ht="117" customHeight="1" x14ac:dyDescent="0.25">
      <c r="A247" s="10">
        <v>67</v>
      </c>
      <c r="B247" s="55" t="s">
        <v>188</v>
      </c>
      <c r="C247" s="62" t="s">
        <v>186</v>
      </c>
      <c r="D247" s="17" t="s">
        <v>16</v>
      </c>
      <c r="E247" s="281">
        <v>5000</v>
      </c>
      <c r="F247" s="281">
        <v>4200</v>
      </c>
      <c r="G247" s="282">
        <f t="shared" si="12"/>
        <v>84</v>
      </c>
      <c r="H247" s="57">
        <v>100</v>
      </c>
      <c r="I247" s="14"/>
      <c r="J247" s="23" t="s">
        <v>351</v>
      </c>
      <c r="K247" s="14"/>
    </row>
    <row r="248" spans="1:11" s="263" customFormat="1" ht="17.25" customHeight="1" x14ac:dyDescent="0.25">
      <c r="A248" s="277"/>
      <c r="B248" s="61" t="s">
        <v>22</v>
      </c>
      <c r="C248" s="288"/>
      <c r="D248" s="288"/>
      <c r="E248" s="283">
        <v>5000</v>
      </c>
      <c r="F248" s="283">
        <v>4200</v>
      </c>
      <c r="G248" s="284">
        <f t="shared" si="12"/>
        <v>84</v>
      </c>
      <c r="H248" s="285"/>
      <c r="I248" s="279"/>
      <c r="J248" s="279"/>
      <c r="K248" s="279"/>
    </row>
    <row r="249" spans="1:11" ht="78.75" customHeight="1" x14ac:dyDescent="0.25">
      <c r="A249" s="10">
        <v>68</v>
      </c>
      <c r="B249" s="55" t="s">
        <v>189</v>
      </c>
      <c r="C249" s="62" t="s">
        <v>186</v>
      </c>
      <c r="D249" s="17" t="s">
        <v>16</v>
      </c>
      <c r="E249" s="281">
        <v>10000</v>
      </c>
      <c r="F249" s="281">
        <v>9995.7999999999993</v>
      </c>
      <c r="G249" s="282">
        <f t="shared" si="12"/>
        <v>99.957999999999998</v>
      </c>
      <c r="H249" s="57">
        <v>100</v>
      </c>
      <c r="I249" s="14"/>
      <c r="J249" s="23" t="s">
        <v>351</v>
      </c>
      <c r="K249" s="14"/>
    </row>
    <row r="250" spans="1:11" s="263" customFormat="1" ht="17.25" customHeight="1" x14ac:dyDescent="0.25">
      <c r="A250" s="277"/>
      <c r="B250" s="61" t="s">
        <v>22</v>
      </c>
      <c r="C250" s="288"/>
      <c r="D250" s="288"/>
      <c r="E250" s="283">
        <v>10000</v>
      </c>
      <c r="F250" s="283">
        <v>9995.7999999999993</v>
      </c>
      <c r="G250" s="284">
        <f t="shared" si="12"/>
        <v>99.957999999999998</v>
      </c>
      <c r="H250" s="285"/>
      <c r="I250" s="279"/>
      <c r="J250" s="279"/>
      <c r="K250" s="279"/>
    </row>
    <row r="251" spans="1:11" ht="179.25" customHeight="1" x14ac:dyDescent="0.25">
      <c r="A251" s="10">
        <v>69</v>
      </c>
      <c r="B251" s="55" t="s">
        <v>190</v>
      </c>
      <c r="C251" s="62" t="s">
        <v>186</v>
      </c>
      <c r="D251" s="17" t="s">
        <v>16</v>
      </c>
      <c r="E251" s="295">
        <v>20000</v>
      </c>
      <c r="F251" s="295">
        <v>53683.7</v>
      </c>
      <c r="G251" s="282">
        <f t="shared" si="12"/>
        <v>268.41849999999999</v>
      </c>
      <c r="H251" s="57">
        <v>100</v>
      </c>
      <c r="I251" s="55"/>
      <c r="J251" s="23" t="s">
        <v>351</v>
      </c>
      <c r="K251" s="14"/>
    </row>
    <row r="252" spans="1:11" s="263" customFormat="1" ht="35.25" customHeight="1" x14ac:dyDescent="0.25">
      <c r="A252" s="277"/>
      <c r="B252" s="61" t="s">
        <v>139</v>
      </c>
      <c r="C252" s="288"/>
      <c r="D252" s="22"/>
      <c r="E252" s="296">
        <v>20000</v>
      </c>
      <c r="F252" s="296">
        <v>53683.7</v>
      </c>
      <c r="G252" s="284">
        <f t="shared" si="12"/>
        <v>268.41849999999999</v>
      </c>
      <c r="H252" s="297"/>
      <c r="I252" s="76"/>
      <c r="J252" s="279"/>
      <c r="K252" s="279"/>
    </row>
    <row r="253" spans="1:11" s="263" customFormat="1" ht="96.75" customHeight="1" x14ac:dyDescent="0.25">
      <c r="A253" s="10">
        <v>70</v>
      </c>
      <c r="B253" s="55" t="s">
        <v>202</v>
      </c>
      <c r="C253" s="62" t="s">
        <v>186</v>
      </c>
      <c r="D253" s="17" t="s">
        <v>543</v>
      </c>
      <c r="E253" s="295">
        <v>5000</v>
      </c>
      <c r="F253" s="295">
        <v>5000</v>
      </c>
      <c r="G253" s="282">
        <f t="shared" si="12"/>
        <v>100</v>
      </c>
      <c r="H253" s="57">
        <v>100</v>
      </c>
      <c r="I253" s="76"/>
      <c r="J253" s="23" t="s">
        <v>351</v>
      </c>
      <c r="K253" s="279"/>
    </row>
    <row r="254" spans="1:11" s="263" customFormat="1" ht="21" customHeight="1" x14ac:dyDescent="0.25">
      <c r="A254" s="277"/>
      <c r="B254" s="61" t="s">
        <v>22</v>
      </c>
      <c r="C254" s="288"/>
      <c r="D254" s="22"/>
      <c r="E254" s="296">
        <v>5000</v>
      </c>
      <c r="F254" s="296">
        <v>5000</v>
      </c>
      <c r="G254" s="284">
        <f t="shared" si="12"/>
        <v>100</v>
      </c>
      <c r="H254" s="297"/>
      <c r="I254" s="76"/>
      <c r="J254" s="279"/>
      <c r="K254" s="279"/>
    </row>
    <row r="255" spans="1:11" ht="84" customHeight="1" x14ac:dyDescent="0.25">
      <c r="A255" s="10">
        <v>71</v>
      </c>
      <c r="B255" s="55" t="s">
        <v>191</v>
      </c>
      <c r="C255" s="62" t="s">
        <v>186</v>
      </c>
      <c r="D255" s="17" t="s">
        <v>193</v>
      </c>
      <c r="E255" s="281">
        <v>4000</v>
      </c>
      <c r="F255" s="281">
        <v>3954.9</v>
      </c>
      <c r="G255" s="282">
        <f t="shared" si="12"/>
        <v>98.872500000000002</v>
      </c>
      <c r="H255" s="57">
        <v>100</v>
      </c>
      <c r="I255" s="55"/>
      <c r="J255" s="23" t="s">
        <v>435</v>
      </c>
      <c r="K255" s="14"/>
    </row>
    <row r="256" spans="1:11" s="263" customFormat="1" ht="17.25" customHeight="1" x14ac:dyDescent="0.25">
      <c r="A256" s="277"/>
      <c r="B256" s="61" t="s">
        <v>22</v>
      </c>
      <c r="C256" s="288"/>
      <c r="D256" s="22"/>
      <c r="E256" s="283">
        <v>4000</v>
      </c>
      <c r="F256" s="283">
        <v>3954.9</v>
      </c>
      <c r="G256" s="284">
        <f t="shared" si="12"/>
        <v>98.872500000000002</v>
      </c>
      <c r="H256" s="285"/>
      <c r="I256" s="76"/>
      <c r="J256" s="279"/>
      <c r="K256" s="279"/>
    </row>
    <row r="257" spans="1:11" ht="99.75" customHeight="1" x14ac:dyDescent="0.25">
      <c r="A257" s="10">
        <v>72</v>
      </c>
      <c r="B257" s="55" t="s">
        <v>192</v>
      </c>
      <c r="C257" s="62" t="s">
        <v>186</v>
      </c>
      <c r="D257" s="17" t="s">
        <v>175</v>
      </c>
      <c r="E257" s="281">
        <v>15000</v>
      </c>
      <c r="F257" s="281">
        <v>14908</v>
      </c>
      <c r="G257" s="282">
        <f t="shared" si="12"/>
        <v>99.38666666666667</v>
      </c>
      <c r="H257" s="57">
        <v>100</v>
      </c>
      <c r="I257" s="55"/>
      <c r="J257" s="23" t="s">
        <v>417</v>
      </c>
      <c r="K257" s="14"/>
    </row>
    <row r="258" spans="1:11" s="263" customFormat="1" ht="17.25" customHeight="1" x14ac:dyDescent="0.25">
      <c r="A258" s="277"/>
      <c r="B258" s="61" t="s">
        <v>22</v>
      </c>
      <c r="C258" s="288"/>
      <c r="D258" s="22"/>
      <c r="E258" s="283">
        <v>15000</v>
      </c>
      <c r="F258" s="283">
        <v>14908</v>
      </c>
      <c r="G258" s="284">
        <f t="shared" si="12"/>
        <v>99.38666666666667</v>
      </c>
      <c r="H258" s="285"/>
      <c r="I258" s="76"/>
      <c r="J258" s="279"/>
      <c r="K258" s="279"/>
    </row>
    <row r="259" spans="1:11" ht="80.25" customHeight="1" x14ac:dyDescent="0.25">
      <c r="A259" s="10">
        <v>73</v>
      </c>
      <c r="B259" s="55" t="s">
        <v>194</v>
      </c>
      <c r="C259" s="62" t="s">
        <v>186</v>
      </c>
      <c r="D259" s="17" t="s">
        <v>16</v>
      </c>
      <c r="E259" s="281">
        <v>12000</v>
      </c>
      <c r="F259" s="281">
        <v>10639.3</v>
      </c>
      <c r="G259" s="282">
        <f t="shared" si="12"/>
        <v>88.660833333333329</v>
      </c>
      <c r="H259" s="57">
        <v>100</v>
      </c>
      <c r="I259" s="14"/>
      <c r="J259" s="23" t="s">
        <v>525</v>
      </c>
      <c r="K259" s="14"/>
    </row>
    <row r="260" spans="1:11" s="263" customFormat="1" ht="17.25" customHeight="1" x14ac:dyDescent="0.25">
      <c r="A260" s="277"/>
      <c r="B260" s="61" t="s">
        <v>22</v>
      </c>
      <c r="C260" s="288"/>
      <c r="D260" s="22"/>
      <c r="E260" s="283">
        <v>12000</v>
      </c>
      <c r="F260" s="283">
        <v>10639.3</v>
      </c>
      <c r="G260" s="284">
        <f t="shared" si="12"/>
        <v>88.660833333333329</v>
      </c>
      <c r="H260" s="285"/>
      <c r="I260" s="279"/>
      <c r="J260" s="279"/>
      <c r="K260" s="279"/>
    </row>
    <row r="261" spans="1:11" ht="51.75" customHeight="1" x14ac:dyDescent="0.25">
      <c r="A261" s="10">
        <v>74</v>
      </c>
      <c r="B261" s="55" t="s">
        <v>195</v>
      </c>
      <c r="C261" s="62" t="s">
        <v>186</v>
      </c>
      <c r="D261" s="17" t="s">
        <v>16</v>
      </c>
      <c r="E261" s="281">
        <v>5000</v>
      </c>
      <c r="F261" s="281">
        <v>4997.3</v>
      </c>
      <c r="G261" s="282">
        <f t="shared" si="12"/>
        <v>99.945999999999998</v>
      </c>
      <c r="H261" s="57">
        <v>100</v>
      </c>
      <c r="I261" s="14"/>
      <c r="J261" s="23" t="s">
        <v>525</v>
      </c>
      <c r="K261" s="14"/>
    </row>
    <row r="262" spans="1:11" s="263" customFormat="1" ht="17.25" customHeight="1" x14ac:dyDescent="0.25">
      <c r="A262" s="277"/>
      <c r="B262" s="61" t="s">
        <v>22</v>
      </c>
      <c r="C262" s="288"/>
      <c r="D262" s="22"/>
      <c r="E262" s="283">
        <v>5000</v>
      </c>
      <c r="F262" s="283">
        <v>4997.3</v>
      </c>
      <c r="G262" s="284">
        <f t="shared" si="12"/>
        <v>99.945999999999998</v>
      </c>
      <c r="H262" s="285"/>
      <c r="I262" s="279"/>
      <c r="J262" s="279"/>
      <c r="K262" s="279"/>
    </row>
    <row r="263" spans="1:11" ht="96.75" customHeight="1" x14ac:dyDescent="0.25">
      <c r="A263" s="10">
        <v>75</v>
      </c>
      <c r="B263" s="55" t="s">
        <v>196</v>
      </c>
      <c r="C263" s="62" t="s">
        <v>186</v>
      </c>
      <c r="D263" s="17" t="s">
        <v>16</v>
      </c>
      <c r="E263" s="281">
        <v>3000</v>
      </c>
      <c r="F263" s="281">
        <v>2998.8</v>
      </c>
      <c r="G263" s="282">
        <f t="shared" si="12"/>
        <v>99.960000000000008</v>
      </c>
      <c r="H263" s="57">
        <v>100</v>
      </c>
      <c r="I263" s="14"/>
      <c r="J263" s="23" t="s">
        <v>525</v>
      </c>
      <c r="K263" s="14"/>
    </row>
    <row r="264" spans="1:11" s="263" customFormat="1" ht="17.25" customHeight="1" x14ac:dyDescent="0.25">
      <c r="A264" s="277"/>
      <c r="B264" s="61" t="s">
        <v>22</v>
      </c>
      <c r="C264" s="288"/>
      <c r="D264" s="22"/>
      <c r="E264" s="283">
        <v>3000</v>
      </c>
      <c r="F264" s="283">
        <v>2998.8</v>
      </c>
      <c r="G264" s="284">
        <f t="shared" si="12"/>
        <v>99.960000000000008</v>
      </c>
      <c r="H264" s="285"/>
      <c r="I264" s="279"/>
      <c r="J264" s="279"/>
      <c r="K264" s="279"/>
    </row>
    <row r="265" spans="1:11" ht="96" customHeight="1" x14ac:dyDescent="0.25">
      <c r="A265" s="10">
        <v>76</v>
      </c>
      <c r="B265" s="55" t="s">
        <v>187</v>
      </c>
      <c r="C265" s="62" t="s">
        <v>197</v>
      </c>
      <c r="D265" s="17" t="s">
        <v>176</v>
      </c>
      <c r="E265" s="281">
        <v>25000</v>
      </c>
      <c r="F265" s="281">
        <v>18480</v>
      </c>
      <c r="G265" s="282">
        <f t="shared" si="12"/>
        <v>73.92</v>
      </c>
      <c r="H265" s="57">
        <v>100</v>
      </c>
      <c r="I265" s="14"/>
      <c r="J265" s="23" t="s">
        <v>401</v>
      </c>
      <c r="K265" s="14"/>
    </row>
    <row r="266" spans="1:11" s="263" customFormat="1" ht="17.25" customHeight="1" x14ac:dyDescent="0.25">
      <c r="A266" s="277"/>
      <c r="B266" s="61" t="s">
        <v>22</v>
      </c>
      <c r="C266" s="288"/>
      <c r="D266" s="22"/>
      <c r="E266" s="283">
        <v>25000</v>
      </c>
      <c r="F266" s="283">
        <v>18480</v>
      </c>
      <c r="G266" s="284">
        <f t="shared" si="12"/>
        <v>73.92</v>
      </c>
      <c r="H266" s="285"/>
      <c r="I266" s="279"/>
      <c r="J266" s="279"/>
      <c r="K266" s="279"/>
    </row>
    <row r="267" spans="1:11" ht="111.75" customHeight="1" x14ac:dyDescent="0.25">
      <c r="A267" s="10">
        <v>77</v>
      </c>
      <c r="B267" s="55" t="s">
        <v>188</v>
      </c>
      <c r="C267" s="62" t="s">
        <v>197</v>
      </c>
      <c r="D267" s="17" t="s">
        <v>193</v>
      </c>
      <c r="E267" s="281">
        <v>10000</v>
      </c>
      <c r="F267" s="281">
        <v>8000</v>
      </c>
      <c r="G267" s="282">
        <f t="shared" si="12"/>
        <v>80</v>
      </c>
      <c r="H267" s="57">
        <v>100</v>
      </c>
      <c r="I267" s="14"/>
      <c r="J267" s="23" t="s">
        <v>435</v>
      </c>
      <c r="K267" s="14"/>
    </row>
    <row r="268" spans="1:11" s="263" customFormat="1" ht="17.25" customHeight="1" x14ac:dyDescent="0.25">
      <c r="A268" s="277"/>
      <c r="B268" s="61" t="s">
        <v>22</v>
      </c>
      <c r="C268" s="288"/>
      <c r="D268" s="22"/>
      <c r="E268" s="283">
        <v>10000</v>
      </c>
      <c r="F268" s="283">
        <v>8000</v>
      </c>
      <c r="G268" s="284">
        <f t="shared" si="12"/>
        <v>80</v>
      </c>
      <c r="H268" s="285"/>
      <c r="I268" s="279"/>
      <c r="J268" s="279"/>
      <c r="K268" s="279"/>
    </row>
    <row r="269" spans="1:11" ht="64.5" customHeight="1" x14ac:dyDescent="0.25">
      <c r="A269" s="10">
        <v>78</v>
      </c>
      <c r="B269" s="55" t="s">
        <v>198</v>
      </c>
      <c r="C269" s="62" t="s">
        <v>197</v>
      </c>
      <c r="D269" s="17" t="s">
        <v>175</v>
      </c>
      <c r="E269" s="281">
        <v>8000</v>
      </c>
      <c r="F269" s="281">
        <v>8000</v>
      </c>
      <c r="G269" s="282">
        <f t="shared" si="12"/>
        <v>100</v>
      </c>
      <c r="H269" s="57">
        <v>100</v>
      </c>
      <c r="I269" s="14"/>
      <c r="J269" s="23" t="s">
        <v>417</v>
      </c>
      <c r="K269" s="14"/>
    </row>
    <row r="270" spans="1:11" s="263" customFormat="1" ht="17.25" customHeight="1" x14ac:dyDescent="0.25">
      <c r="A270" s="277"/>
      <c r="B270" s="61" t="s">
        <v>22</v>
      </c>
      <c r="C270" s="288"/>
      <c r="D270" s="22"/>
      <c r="E270" s="283">
        <v>8000</v>
      </c>
      <c r="F270" s="283">
        <v>8000</v>
      </c>
      <c r="G270" s="284">
        <f t="shared" si="12"/>
        <v>100</v>
      </c>
      <c r="H270" s="285"/>
      <c r="I270" s="279"/>
      <c r="J270" s="279"/>
      <c r="K270" s="279"/>
    </row>
    <row r="271" spans="1:11" ht="66" customHeight="1" x14ac:dyDescent="0.25">
      <c r="A271" s="10">
        <v>79</v>
      </c>
      <c r="B271" s="55" t="s">
        <v>199</v>
      </c>
      <c r="C271" s="62" t="s">
        <v>197</v>
      </c>
      <c r="D271" s="17" t="s">
        <v>16</v>
      </c>
      <c r="E271" s="281">
        <v>10000</v>
      </c>
      <c r="F271" s="281">
        <v>9999.84</v>
      </c>
      <c r="G271" s="282">
        <f t="shared" si="12"/>
        <v>99.998400000000004</v>
      </c>
      <c r="H271" s="57">
        <v>100</v>
      </c>
      <c r="I271" s="14"/>
      <c r="J271" s="23" t="s">
        <v>525</v>
      </c>
      <c r="K271" s="14"/>
    </row>
    <row r="272" spans="1:11" s="263" customFormat="1" ht="17.25" customHeight="1" x14ac:dyDescent="0.25">
      <c r="A272" s="277"/>
      <c r="B272" s="61" t="s">
        <v>22</v>
      </c>
      <c r="C272" s="288"/>
      <c r="D272" s="22"/>
      <c r="E272" s="283">
        <v>10000</v>
      </c>
      <c r="F272" s="283">
        <v>9999.84</v>
      </c>
      <c r="G272" s="284">
        <f t="shared" si="12"/>
        <v>99.998400000000004</v>
      </c>
      <c r="H272" s="285"/>
      <c r="I272" s="279"/>
      <c r="J272" s="279"/>
      <c r="K272" s="279"/>
    </row>
    <row r="273" spans="1:11" ht="114.75" customHeight="1" x14ac:dyDescent="0.25">
      <c r="A273" s="10">
        <v>80</v>
      </c>
      <c r="B273" s="55" t="s">
        <v>200</v>
      </c>
      <c r="C273" s="62" t="s">
        <v>197</v>
      </c>
      <c r="D273" s="17" t="s">
        <v>16</v>
      </c>
      <c r="E273" s="281">
        <v>10000</v>
      </c>
      <c r="F273" s="281">
        <v>9957.86</v>
      </c>
      <c r="G273" s="282">
        <f t="shared" si="12"/>
        <v>99.578600000000009</v>
      </c>
      <c r="H273" s="57">
        <v>100</v>
      </c>
      <c r="I273" s="55"/>
      <c r="J273" s="23" t="s">
        <v>525</v>
      </c>
      <c r="K273" s="14"/>
    </row>
    <row r="274" spans="1:11" s="263" customFormat="1" ht="17.25" customHeight="1" x14ac:dyDescent="0.25">
      <c r="A274" s="277"/>
      <c r="B274" s="61" t="s">
        <v>22</v>
      </c>
      <c r="C274" s="288"/>
      <c r="D274" s="22"/>
      <c r="E274" s="283">
        <v>10000</v>
      </c>
      <c r="F274" s="283">
        <v>9957.86</v>
      </c>
      <c r="G274" s="284">
        <f t="shared" si="12"/>
        <v>99.578600000000009</v>
      </c>
      <c r="H274" s="285"/>
      <c r="I274" s="76"/>
      <c r="J274" s="266"/>
      <c r="K274" s="279"/>
    </row>
    <row r="275" spans="1:11" ht="81.75" customHeight="1" x14ac:dyDescent="0.25">
      <c r="A275" s="10">
        <v>81</v>
      </c>
      <c r="B275" s="55" t="s">
        <v>191</v>
      </c>
      <c r="C275" s="62" t="s">
        <v>197</v>
      </c>
      <c r="D275" s="17" t="s">
        <v>193</v>
      </c>
      <c r="E275" s="281">
        <v>2000</v>
      </c>
      <c r="F275" s="281">
        <v>1999.45</v>
      </c>
      <c r="G275" s="282">
        <f t="shared" si="12"/>
        <v>99.972499999999997</v>
      </c>
      <c r="H275" s="57">
        <v>100</v>
      </c>
      <c r="I275" s="55"/>
      <c r="J275" s="23" t="s">
        <v>435</v>
      </c>
      <c r="K275" s="14"/>
    </row>
    <row r="276" spans="1:11" s="263" customFormat="1" ht="17.25" customHeight="1" x14ac:dyDescent="0.25">
      <c r="A276" s="277"/>
      <c r="B276" s="61" t="s">
        <v>22</v>
      </c>
      <c r="C276" s="288"/>
      <c r="D276" s="22"/>
      <c r="E276" s="283">
        <v>2000</v>
      </c>
      <c r="F276" s="283">
        <v>1999.45</v>
      </c>
      <c r="G276" s="284">
        <f t="shared" si="12"/>
        <v>99.972499999999997</v>
      </c>
      <c r="H276" s="285"/>
      <c r="I276" s="76"/>
      <c r="J276" s="279"/>
      <c r="K276" s="279"/>
    </row>
    <row r="277" spans="1:11" ht="97.5" customHeight="1" x14ac:dyDescent="0.25">
      <c r="A277" s="10">
        <v>82</v>
      </c>
      <c r="B277" s="55" t="s">
        <v>192</v>
      </c>
      <c r="C277" s="62" t="s">
        <v>197</v>
      </c>
      <c r="D277" s="17" t="s">
        <v>175</v>
      </c>
      <c r="E277" s="281">
        <v>10000</v>
      </c>
      <c r="F277" s="281">
        <v>9983.68</v>
      </c>
      <c r="G277" s="282">
        <f t="shared" si="12"/>
        <v>99.836799999999997</v>
      </c>
      <c r="H277" s="57">
        <v>100</v>
      </c>
      <c r="I277" s="55"/>
      <c r="J277" s="23" t="s">
        <v>417</v>
      </c>
      <c r="K277" s="14"/>
    </row>
    <row r="278" spans="1:11" s="263" customFormat="1" ht="17.25" customHeight="1" x14ac:dyDescent="0.25">
      <c r="A278" s="277"/>
      <c r="B278" s="61" t="s">
        <v>22</v>
      </c>
      <c r="C278" s="288"/>
      <c r="D278" s="22"/>
      <c r="E278" s="283">
        <v>10000</v>
      </c>
      <c r="F278" s="283">
        <v>9983.68</v>
      </c>
      <c r="G278" s="284">
        <f t="shared" si="12"/>
        <v>99.836799999999997</v>
      </c>
      <c r="H278" s="285"/>
      <c r="I278" s="76"/>
      <c r="J278" s="279"/>
      <c r="K278" s="279"/>
    </row>
    <row r="279" spans="1:11" ht="84" customHeight="1" x14ac:dyDescent="0.25">
      <c r="A279" s="10">
        <v>83</v>
      </c>
      <c r="B279" s="55" t="s">
        <v>194</v>
      </c>
      <c r="C279" s="62" t="s">
        <v>197</v>
      </c>
      <c r="D279" s="17" t="s">
        <v>16</v>
      </c>
      <c r="E279" s="281">
        <v>20000</v>
      </c>
      <c r="F279" s="281">
        <v>19815</v>
      </c>
      <c r="G279" s="282">
        <f t="shared" si="12"/>
        <v>99.075000000000003</v>
      </c>
      <c r="H279" s="57">
        <v>100</v>
      </c>
      <c r="I279" s="55"/>
      <c r="J279" s="23" t="s">
        <v>525</v>
      </c>
      <c r="K279" s="14"/>
    </row>
    <row r="280" spans="1:11" s="263" customFormat="1" ht="17.25" customHeight="1" x14ac:dyDescent="0.25">
      <c r="A280" s="277"/>
      <c r="B280" s="61" t="s">
        <v>22</v>
      </c>
      <c r="C280" s="288"/>
      <c r="D280" s="22"/>
      <c r="E280" s="283">
        <v>20000</v>
      </c>
      <c r="F280" s="283">
        <v>19815</v>
      </c>
      <c r="G280" s="284">
        <f t="shared" si="12"/>
        <v>99.075000000000003</v>
      </c>
      <c r="H280" s="285"/>
      <c r="I280" s="76"/>
      <c r="J280" s="279"/>
      <c r="K280" s="279"/>
    </row>
    <row r="281" spans="1:11" ht="52.5" customHeight="1" x14ac:dyDescent="0.25">
      <c r="A281" s="10">
        <v>84</v>
      </c>
      <c r="B281" s="55" t="s">
        <v>195</v>
      </c>
      <c r="C281" s="62" t="s">
        <v>197</v>
      </c>
      <c r="D281" s="17" t="s">
        <v>16</v>
      </c>
      <c r="E281" s="281">
        <v>5000</v>
      </c>
      <c r="F281" s="281">
        <v>4375.7</v>
      </c>
      <c r="G281" s="282">
        <f t="shared" si="12"/>
        <v>87.513999999999996</v>
      </c>
      <c r="H281" s="57">
        <v>100</v>
      </c>
      <c r="I281" s="55"/>
      <c r="J281" s="23" t="s">
        <v>525</v>
      </c>
      <c r="K281" s="14"/>
    </row>
    <row r="282" spans="1:11" s="263" customFormat="1" ht="17.25" customHeight="1" x14ac:dyDescent="0.25">
      <c r="A282" s="277"/>
      <c r="B282" s="61" t="s">
        <v>22</v>
      </c>
      <c r="C282" s="288"/>
      <c r="D282" s="22"/>
      <c r="E282" s="283">
        <v>5000</v>
      </c>
      <c r="F282" s="283">
        <v>4375.7</v>
      </c>
      <c r="G282" s="284">
        <f t="shared" si="12"/>
        <v>87.513999999999996</v>
      </c>
      <c r="H282" s="285"/>
      <c r="I282" s="76"/>
      <c r="J282" s="266"/>
      <c r="K282" s="279"/>
    </row>
    <row r="283" spans="1:11" s="263" customFormat="1" ht="81.75" customHeight="1" x14ac:dyDescent="0.25">
      <c r="A283" s="10">
        <v>85</v>
      </c>
      <c r="B283" s="55" t="s">
        <v>291</v>
      </c>
      <c r="C283" s="62" t="s">
        <v>197</v>
      </c>
      <c r="D283" s="17" t="s">
        <v>292</v>
      </c>
      <c r="E283" s="281">
        <v>9000</v>
      </c>
      <c r="F283" s="281">
        <v>8999.7099999999991</v>
      </c>
      <c r="G283" s="282">
        <f t="shared" si="12"/>
        <v>99.996777777777766</v>
      </c>
      <c r="H283" s="57">
        <v>100</v>
      </c>
      <c r="I283" s="76"/>
      <c r="J283" s="23" t="s">
        <v>417</v>
      </c>
      <c r="K283" s="279"/>
    </row>
    <row r="284" spans="1:11" s="263" customFormat="1" ht="17.25" customHeight="1" x14ac:dyDescent="0.25">
      <c r="A284" s="277"/>
      <c r="B284" s="61" t="s">
        <v>22</v>
      </c>
      <c r="C284" s="288"/>
      <c r="D284" s="22"/>
      <c r="E284" s="283">
        <v>9000</v>
      </c>
      <c r="F284" s="283">
        <v>8999.7099999999991</v>
      </c>
      <c r="G284" s="284">
        <f t="shared" si="12"/>
        <v>99.996777777777766</v>
      </c>
      <c r="H284" s="285"/>
      <c r="I284" s="76"/>
      <c r="J284" s="266"/>
      <c r="K284" s="279"/>
    </row>
    <row r="285" spans="1:11" ht="128.25" customHeight="1" x14ac:dyDescent="0.25">
      <c r="A285" s="10">
        <v>86</v>
      </c>
      <c r="B285" s="55" t="s">
        <v>544</v>
      </c>
      <c r="C285" s="62" t="s">
        <v>21</v>
      </c>
      <c r="D285" s="17" t="s">
        <v>280</v>
      </c>
      <c r="E285" s="281">
        <v>130000</v>
      </c>
      <c r="F285" s="281">
        <v>119167.66</v>
      </c>
      <c r="G285" s="282">
        <f t="shared" si="12"/>
        <v>91.667430769230776</v>
      </c>
      <c r="H285" s="57">
        <v>100</v>
      </c>
      <c r="I285" s="48"/>
      <c r="J285" s="23" t="s">
        <v>525</v>
      </c>
      <c r="K285" s="14"/>
    </row>
    <row r="286" spans="1:11" s="263" customFormat="1" ht="16.5" customHeight="1" x14ac:dyDescent="0.25">
      <c r="A286" s="277"/>
      <c r="B286" s="61" t="s">
        <v>22</v>
      </c>
      <c r="C286" s="288"/>
      <c r="D286" s="22"/>
      <c r="E286" s="283">
        <v>130000</v>
      </c>
      <c r="F286" s="283">
        <v>119167.66</v>
      </c>
      <c r="G286" s="282">
        <f t="shared" si="12"/>
        <v>91.667430769230776</v>
      </c>
      <c r="H286" s="285"/>
      <c r="I286" s="76"/>
      <c r="J286" s="266"/>
      <c r="K286" s="279"/>
    </row>
    <row r="287" spans="1:11" ht="117" customHeight="1" x14ac:dyDescent="0.25">
      <c r="A287" s="10">
        <v>87</v>
      </c>
      <c r="B287" s="55" t="s">
        <v>188</v>
      </c>
      <c r="C287" s="62" t="s">
        <v>204</v>
      </c>
      <c r="D287" s="17" t="s">
        <v>293</v>
      </c>
      <c r="E287" s="281">
        <v>5000</v>
      </c>
      <c r="F287" s="281">
        <v>4380</v>
      </c>
      <c r="G287" s="282">
        <f t="shared" si="12"/>
        <v>87.6</v>
      </c>
      <c r="H287" s="57">
        <v>100</v>
      </c>
      <c r="I287" s="55"/>
      <c r="J287" s="23" t="s">
        <v>401</v>
      </c>
      <c r="K287" s="55"/>
    </row>
    <row r="288" spans="1:11" s="263" customFormat="1" ht="20.25" customHeight="1" x14ac:dyDescent="0.25">
      <c r="A288" s="277"/>
      <c r="B288" s="61" t="s">
        <v>22</v>
      </c>
      <c r="C288" s="288"/>
      <c r="D288" s="22"/>
      <c r="E288" s="283">
        <v>5000</v>
      </c>
      <c r="F288" s="283">
        <v>4380</v>
      </c>
      <c r="G288" s="284">
        <f t="shared" si="12"/>
        <v>87.6</v>
      </c>
      <c r="H288" s="285"/>
      <c r="I288" s="76"/>
      <c r="J288" s="76"/>
      <c r="K288" s="279"/>
    </row>
    <row r="289" spans="1:11" ht="69.75" customHeight="1" x14ac:dyDescent="0.25">
      <c r="A289" s="10">
        <v>88</v>
      </c>
      <c r="B289" s="55" t="s">
        <v>205</v>
      </c>
      <c r="C289" s="62" t="s">
        <v>204</v>
      </c>
      <c r="D289" s="17" t="s">
        <v>57</v>
      </c>
      <c r="E289" s="281">
        <v>10000</v>
      </c>
      <c r="F289" s="281">
        <v>9900</v>
      </c>
      <c r="G289" s="282">
        <f t="shared" si="12"/>
        <v>99</v>
      </c>
      <c r="H289" s="57">
        <v>100</v>
      </c>
      <c r="I289" s="55"/>
      <c r="J289" s="23" t="s">
        <v>545</v>
      </c>
      <c r="K289" s="55"/>
    </row>
    <row r="290" spans="1:11" s="263" customFormat="1" ht="20.25" customHeight="1" x14ac:dyDescent="0.25">
      <c r="A290" s="277"/>
      <c r="B290" s="61" t="s">
        <v>22</v>
      </c>
      <c r="C290" s="288"/>
      <c r="D290" s="22"/>
      <c r="E290" s="283">
        <v>10000</v>
      </c>
      <c r="F290" s="283">
        <v>9900</v>
      </c>
      <c r="G290" s="284">
        <f t="shared" si="12"/>
        <v>99</v>
      </c>
      <c r="H290" s="285"/>
      <c r="I290" s="76"/>
      <c r="J290" s="76"/>
      <c r="K290" s="279"/>
    </row>
    <row r="291" spans="1:11" ht="83.25" customHeight="1" x14ac:dyDescent="0.25">
      <c r="A291" s="10">
        <v>89</v>
      </c>
      <c r="B291" s="55" t="s">
        <v>201</v>
      </c>
      <c r="C291" s="62" t="s">
        <v>204</v>
      </c>
      <c r="D291" s="17" t="s">
        <v>16</v>
      </c>
      <c r="E291" s="281">
        <v>10000</v>
      </c>
      <c r="F291" s="281">
        <v>9959</v>
      </c>
      <c r="G291" s="282">
        <f t="shared" si="12"/>
        <v>99.59</v>
      </c>
      <c r="H291" s="57">
        <v>100</v>
      </c>
      <c r="I291" s="48"/>
      <c r="J291" s="23" t="s">
        <v>525</v>
      </c>
      <c r="K291" s="14"/>
    </row>
    <row r="292" spans="1:11" s="263" customFormat="1" ht="20.25" customHeight="1" x14ac:dyDescent="0.25">
      <c r="A292" s="277"/>
      <c r="B292" s="61" t="s">
        <v>22</v>
      </c>
      <c r="C292" s="288"/>
      <c r="D292" s="22"/>
      <c r="E292" s="283">
        <v>10000</v>
      </c>
      <c r="F292" s="283">
        <v>9959</v>
      </c>
      <c r="G292" s="284">
        <f t="shared" si="12"/>
        <v>99.59</v>
      </c>
      <c r="H292" s="285"/>
      <c r="I292" s="76"/>
      <c r="J292" s="76"/>
      <c r="K292" s="279"/>
    </row>
    <row r="293" spans="1:11" ht="114.75" customHeight="1" x14ac:dyDescent="0.25">
      <c r="A293" s="10">
        <v>90</v>
      </c>
      <c r="B293" s="55" t="s">
        <v>200</v>
      </c>
      <c r="C293" s="62" t="s">
        <v>204</v>
      </c>
      <c r="D293" s="17" t="s">
        <v>16</v>
      </c>
      <c r="E293" s="281">
        <v>5000</v>
      </c>
      <c r="F293" s="281">
        <v>4918.03</v>
      </c>
      <c r="G293" s="282">
        <f t="shared" si="12"/>
        <v>98.360600000000005</v>
      </c>
      <c r="H293" s="57">
        <v>100</v>
      </c>
      <c r="I293" s="55"/>
      <c r="J293" s="23"/>
      <c r="K293" s="55"/>
    </row>
    <row r="294" spans="1:11" s="263" customFormat="1" ht="20.25" customHeight="1" x14ac:dyDescent="0.25">
      <c r="A294" s="277"/>
      <c r="B294" s="61" t="s">
        <v>22</v>
      </c>
      <c r="C294" s="288"/>
      <c r="D294" s="22"/>
      <c r="E294" s="283">
        <v>5000</v>
      </c>
      <c r="F294" s="283">
        <v>4918.03</v>
      </c>
      <c r="G294" s="284">
        <f t="shared" si="12"/>
        <v>98.360600000000005</v>
      </c>
      <c r="H294" s="285"/>
      <c r="I294" s="76"/>
      <c r="J294" s="266"/>
      <c r="K294" s="279"/>
    </row>
    <row r="295" spans="1:11" s="263" customFormat="1" ht="68.25" customHeight="1" x14ac:dyDescent="0.25">
      <c r="A295" s="10">
        <v>91</v>
      </c>
      <c r="B295" s="55" t="s">
        <v>294</v>
      </c>
      <c r="C295" s="62" t="s">
        <v>204</v>
      </c>
      <c r="D295" s="17" t="s">
        <v>280</v>
      </c>
      <c r="E295" s="281">
        <v>2000</v>
      </c>
      <c r="F295" s="281">
        <v>2000</v>
      </c>
      <c r="G295" s="282">
        <f t="shared" si="12"/>
        <v>100</v>
      </c>
      <c r="H295" s="57">
        <v>100</v>
      </c>
      <c r="I295" s="76"/>
      <c r="J295" s="23" t="s">
        <v>525</v>
      </c>
      <c r="K295" s="279"/>
    </row>
    <row r="296" spans="1:11" s="263" customFormat="1" ht="20.25" customHeight="1" x14ac:dyDescent="0.25">
      <c r="A296" s="277"/>
      <c r="B296" s="61" t="s">
        <v>22</v>
      </c>
      <c r="C296" s="288"/>
      <c r="D296" s="22"/>
      <c r="E296" s="283">
        <v>2000</v>
      </c>
      <c r="F296" s="283">
        <v>2000</v>
      </c>
      <c r="G296" s="284">
        <f t="shared" si="12"/>
        <v>100</v>
      </c>
      <c r="H296" s="285"/>
      <c r="I296" s="76"/>
      <c r="J296" s="266"/>
      <c r="K296" s="279"/>
    </row>
    <row r="297" spans="1:11" ht="101.25" customHeight="1" x14ac:dyDescent="0.25">
      <c r="A297" s="10">
        <v>92</v>
      </c>
      <c r="B297" s="55" t="s">
        <v>192</v>
      </c>
      <c r="C297" s="62" t="s">
        <v>204</v>
      </c>
      <c r="D297" s="17" t="s">
        <v>45</v>
      </c>
      <c r="E297" s="281">
        <v>20000</v>
      </c>
      <c r="F297" s="281">
        <v>19975.29</v>
      </c>
      <c r="G297" s="282">
        <f t="shared" si="12"/>
        <v>99.876450000000006</v>
      </c>
      <c r="H297" s="57">
        <v>100</v>
      </c>
      <c r="I297" s="55"/>
      <c r="J297" s="37" t="s">
        <v>380</v>
      </c>
      <c r="K297" s="14"/>
    </row>
    <row r="298" spans="1:11" s="263" customFormat="1" ht="20.25" customHeight="1" x14ac:dyDescent="0.25">
      <c r="A298" s="277"/>
      <c r="B298" s="61" t="s">
        <v>22</v>
      </c>
      <c r="C298" s="288"/>
      <c r="D298" s="22"/>
      <c r="E298" s="283">
        <v>20000</v>
      </c>
      <c r="F298" s="283">
        <v>19975.29</v>
      </c>
      <c r="G298" s="284">
        <f t="shared" si="12"/>
        <v>99.876450000000006</v>
      </c>
      <c r="H298" s="285"/>
      <c r="I298" s="76"/>
      <c r="J298" s="76"/>
      <c r="K298" s="279"/>
    </row>
    <row r="299" spans="1:11" ht="84.75" customHeight="1" x14ac:dyDescent="0.25">
      <c r="A299" s="10">
        <v>93</v>
      </c>
      <c r="B299" s="55" t="s">
        <v>194</v>
      </c>
      <c r="C299" s="62" t="s">
        <v>204</v>
      </c>
      <c r="D299" s="17" t="s">
        <v>16</v>
      </c>
      <c r="E299" s="281">
        <v>25000</v>
      </c>
      <c r="F299" s="281">
        <v>22400</v>
      </c>
      <c r="G299" s="282">
        <f t="shared" si="12"/>
        <v>89.600000000000009</v>
      </c>
      <c r="H299" s="57">
        <v>100</v>
      </c>
      <c r="I299" s="55"/>
      <c r="J299" s="23" t="s">
        <v>525</v>
      </c>
      <c r="K299" s="55"/>
    </row>
    <row r="300" spans="1:11" s="263" customFormat="1" ht="20.25" customHeight="1" x14ac:dyDescent="0.25">
      <c r="A300" s="277"/>
      <c r="B300" s="61" t="s">
        <v>22</v>
      </c>
      <c r="C300" s="288"/>
      <c r="D300" s="22"/>
      <c r="E300" s="283">
        <v>25000</v>
      </c>
      <c r="F300" s="283">
        <v>22400</v>
      </c>
      <c r="G300" s="284">
        <f t="shared" si="12"/>
        <v>89.600000000000009</v>
      </c>
      <c r="H300" s="285"/>
      <c r="I300" s="76"/>
      <c r="J300" s="76"/>
      <c r="K300" s="279"/>
    </row>
    <row r="301" spans="1:11" ht="84" customHeight="1" x14ac:dyDescent="0.25">
      <c r="A301" s="10">
        <v>94</v>
      </c>
      <c r="B301" s="55" t="s">
        <v>203</v>
      </c>
      <c r="C301" s="62" t="s">
        <v>204</v>
      </c>
      <c r="D301" s="17" t="s">
        <v>175</v>
      </c>
      <c r="E301" s="281">
        <v>2000</v>
      </c>
      <c r="F301" s="281">
        <v>2000</v>
      </c>
      <c r="G301" s="282">
        <f t="shared" si="12"/>
        <v>100</v>
      </c>
      <c r="H301" s="57">
        <v>100</v>
      </c>
      <c r="I301" s="48"/>
      <c r="J301" s="23" t="s">
        <v>417</v>
      </c>
      <c r="K301" s="14"/>
    </row>
    <row r="302" spans="1:11" s="263" customFormat="1" ht="17.25" customHeight="1" x14ac:dyDescent="0.25">
      <c r="A302" s="277"/>
      <c r="B302" s="61" t="s">
        <v>22</v>
      </c>
      <c r="C302" s="288"/>
      <c r="D302" s="22"/>
      <c r="E302" s="283">
        <v>2000</v>
      </c>
      <c r="F302" s="283">
        <v>2000</v>
      </c>
      <c r="G302" s="284">
        <f t="shared" si="12"/>
        <v>100</v>
      </c>
      <c r="H302" s="285"/>
      <c r="I302" s="76"/>
      <c r="J302" s="76"/>
      <c r="K302" s="279"/>
    </row>
    <row r="303" spans="1:11" ht="105" customHeight="1" x14ac:dyDescent="0.25">
      <c r="A303" s="10">
        <v>95</v>
      </c>
      <c r="B303" s="55" t="s">
        <v>187</v>
      </c>
      <c r="C303" s="62" t="s">
        <v>206</v>
      </c>
      <c r="D303" s="17" t="s">
        <v>16</v>
      </c>
      <c r="E303" s="283">
        <v>15000</v>
      </c>
      <c r="F303" s="281">
        <v>13130</v>
      </c>
      <c r="G303" s="282">
        <f t="shared" si="12"/>
        <v>87.533333333333331</v>
      </c>
      <c r="H303" s="57">
        <v>100</v>
      </c>
      <c r="I303" s="55"/>
      <c r="J303" s="23" t="s">
        <v>525</v>
      </c>
      <c r="K303" s="55"/>
    </row>
    <row r="304" spans="1:11" s="263" customFormat="1" ht="17.25" customHeight="1" x14ac:dyDescent="0.25">
      <c r="A304" s="277"/>
      <c r="B304" s="61" t="s">
        <v>22</v>
      </c>
      <c r="C304" s="288"/>
      <c r="D304" s="22"/>
      <c r="E304" s="283">
        <v>15000</v>
      </c>
      <c r="F304" s="283">
        <v>13130</v>
      </c>
      <c r="G304" s="284">
        <f t="shared" si="12"/>
        <v>87.533333333333331</v>
      </c>
      <c r="H304" s="285"/>
      <c r="I304" s="76"/>
      <c r="J304" s="279"/>
      <c r="K304" s="279"/>
    </row>
    <row r="305" spans="1:11" ht="114.75" customHeight="1" x14ac:dyDescent="0.25">
      <c r="A305" s="10">
        <v>96</v>
      </c>
      <c r="B305" s="55" t="s">
        <v>188</v>
      </c>
      <c r="C305" s="62" t="s">
        <v>206</v>
      </c>
      <c r="D305" s="17" t="s">
        <v>177</v>
      </c>
      <c r="E305" s="281">
        <v>5000</v>
      </c>
      <c r="F305" s="281">
        <v>4840</v>
      </c>
      <c r="G305" s="282">
        <f t="shared" si="12"/>
        <v>96.8</v>
      </c>
      <c r="H305" s="57">
        <v>100</v>
      </c>
      <c r="I305" s="55"/>
      <c r="J305" s="23" t="s">
        <v>401</v>
      </c>
      <c r="K305" s="55"/>
    </row>
    <row r="306" spans="1:11" s="263" customFormat="1" ht="17.25" customHeight="1" x14ac:dyDescent="0.25">
      <c r="A306" s="277"/>
      <c r="B306" s="61" t="s">
        <v>22</v>
      </c>
      <c r="C306" s="288"/>
      <c r="D306" s="22"/>
      <c r="E306" s="283">
        <v>5000</v>
      </c>
      <c r="F306" s="283">
        <v>4840</v>
      </c>
      <c r="G306" s="284">
        <f t="shared" si="12"/>
        <v>96.8</v>
      </c>
      <c r="H306" s="285"/>
      <c r="I306" s="76"/>
      <c r="J306" s="279"/>
      <c r="K306" s="279"/>
    </row>
    <row r="307" spans="1:11" ht="84" customHeight="1" x14ac:dyDescent="0.25">
      <c r="A307" s="10">
        <v>97</v>
      </c>
      <c r="B307" s="55" t="s">
        <v>201</v>
      </c>
      <c r="C307" s="62" t="s">
        <v>206</v>
      </c>
      <c r="D307" s="17" t="s">
        <v>16</v>
      </c>
      <c r="E307" s="281">
        <v>10000</v>
      </c>
      <c r="F307" s="281">
        <v>10000</v>
      </c>
      <c r="G307" s="282">
        <f t="shared" si="12"/>
        <v>100</v>
      </c>
      <c r="H307" s="57">
        <v>100</v>
      </c>
      <c r="I307" s="55"/>
      <c r="J307" s="23" t="s">
        <v>525</v>
      </c>
      <c r="K307" s="55"/>
    </row>
    <row r="308" spans="1:11" s="263" customFormat="1" ht="17.25" customHeight="1" x14ac:dyDescent="0.25">
      <c r="A308" s="277"/>
      <c r="B308" s="61" t="s">
        <v>22</v>
      </c>
      <c r="C308" s="288"/>
      <c r="D308" s="22"/>
      <c r="E308" s="283">
        <v>10000</v>
      </c>
      <c r="F308" s="283">
        <v>10000</v>
      </c>
      <c r="G308" s="284">
        <f t="shared" si="12"/>
        <v>100</v>
      </c>
      <c r="H308" s="285"/>
      <c r="I308" s="76"/>
      <c r="J308" s="279"/>
      <c r="K308" s="279"/>
    </row>
    <row r="309" spans="1:11" ht="115.5" customHeight="1" x14ac:dyDescent="0.25">
      <c r="A309" s="10">
        <v>98</v>
      </c>
      <c r="B309" s="55" t="s">
        <v>200</v>
      </c>
      <c r="C309" s="62" t="s">
        <v>206</v>
      </c>
      <c r="D309" s="17" t="s">
        <v>16</v>
      </c>
      <c r="E309" s="281">
        <v>5000</v>
      </c>
      <c r="F309" s="281">
        <v>5000</v>
      </c>
      <c r="G309" s="282">
        <f t="shared" ref="G309:G330" si="13">F309/E309*100</f>
        <v>100</v>
      </c>
      <c r="H309" s="57">
        <v>100</v>
      </c>
      <c r="I309" s="55"/>
      <c r="J309" s="23" t="s">
        <v>525</v>
      </c>
      <c r="K309" s="14"/>
    </row>
    <row r="310" spans="1:11" s="263" customFormat="1" ht="17.25" customHeight="1" x14ac:dyDescent="0.25">
      <c r="A310" s="277"/>
      <c r="B310" s="61" t="s">
        <v>22</v>
      </c>
      <c r="C310" s="288"/>
      <c r="D310" s="22"/>
      <c r="E310" s="283">
        <v>5000</v>
      </c>
      <c r="F310" s="283">
        <v>5000</v>
      </c>
      <c r="G310" s="284">
        <f t="shared" si="13"/>
        <v>100</v>
      </c>
      <c r="H310" s="285"/>
      <c r="I310" s="76"/>
      <c r="J310" s="279"/>
      <c r="K310" s="279"/>
    </row>
    <row r="311" spans="1:11" ht="87" customHeight="1" x14ac:dyDescent="0.25">
      <c r="A311" s="10">
        <v>99</v>
      </c>
      <c r="B311" s="55" t="s">
        <v>191</v>
      </c>
      <c r="C311" s="62" t="s">
        <v>206</v>
      </c>
      <c r="D311" s="17" t="s">
        <v>207</v>
      </c>
      <c r="E311" s="281">
        <v>3000</v>
      </c>
      <c r="F311" s="281">
        <v>3000</v>
      </c>
      <c r="G311" s="282">
        <f t="shared" si="13"/>
        <v>100</v>
      </c>
      <c r="H311" s="57">
        <v>100</v>
      </c>
      <c r="I311" s="55"/>
      <c r="J311" s="23" t="s">
        <v>435</v>
      </c>
      <c r="K311" s="55"/>
    </row>
    <row r="312" spans="1:11" s="263" customFormat="1" ht="17.25" customHeight="1" x14ac:dyDescent="0.25">
      <c r="A312" s="277"/>
      <c r="B312" s="61" t="s">
        <v>22</v>
      </c>
      <c r="C312" s="288"/>
      <c r="D312" s="22"/>
      <c r="E312" s="283">
        <v>3000</v>
      </c>
      <c r="F312" s="283">
        <v>3000</v>
      </c>
      <c r="G312" s="284">
        <f t="shared" si="13"/>
        <v>100</v>
      </c>
      <c r="H312" s="285"/>
      <c r="I312" s="76"/>
      <c r="J312" s="279"/>
      <c r="K312" s="279"/>
    </row>
    <row r="313" spans="1:11" s="263" customFormat="1" ht="97.5" customHeight="1" x14ac:dyDescent="0.25">
      <c r="A313" s="10">
        <v>100</v>
      </c>
      <c r="B313" s="55" t="s">
        <v>546</v>
      </c>
      <c r="C313" s="62" t="s">
        <v>206</v>
      </c>
      <c r="D313" s="17" t="s">
        <v>290</v>
      </c>
      <c r="E313" s="281">
        <v>25000</v>
      </c>
      <c r="F313" s="281">
        <v>23539</v>
      </c>
      <c r="G313" s="282">
        <f t="shared" si="13"/>
        <v>94.155999999999992</v>
      </c>
      <c r="H313" s="57">
        <v>100</v>
      </c>
      <c r="I313" s="76"/>
      <c r="J313" s="23" t="s">
        <v>417</v>
      </c>
      <c r="K313" s="279"/>
    </row>
    <row r="314" spans="1:11" s="263" customFormat="1" ht="17.25" customHeight="1" x14ac:dyDescent="0.25">
      <c r="A314" s="277"/>
      <c r="B314" s="61" t="s">
        <v>22</v>
      </c>
      <c r="C314" s="288"/>
      <c r="D314" s="22"/>
      <c r="E314" s="283">
        <v>25000</v>
      </c>
      <c r="F314" s="283">
        <v>23539</v>
      </c>
      <c r="G314" s="284">
        <f t="shared" si="13"/>
        <v>94.155999999999992</v>
      </c>
      <c r="H314" s="285"/>
      <c r="I314" s="76"/>
      <c r="J314" s="279"/>
      <c r="K314" s="279"/>
    </row>
    <row r="315" spans="1:11" ht="67.5" customHeight="1" x14ac:dyDescent="0.25">
      <c r="A315" s="10">
        <v>101</v>
      </c>
      <c r="B315" s="55" t="s">
        <v>547</v>
      </c>
      <c r="C315" s="62" t="s">
        <v>206</v>
      </c>
      <c r="D315" s="17" t="s">
        <v>280</v>
      </c>
      <c r="E315" s="281">
        <v>15000</v>
      </c>
      <c r="F315" s="281">
        <v>15000</v>
      </c>
      <c r="G315" s="282">
        <f t="shared" si="13"/>
        <v>100</v>
      </c>
      <c r="H315" s="57">
        <v>100</v>
      </c>
      <c r="I315" s="55"/>
      <c r="J315" s="23" t="s">
        <v>525</v>
      </c>
      <c r="K315" s="55"/>
    </row>
    <row r="316" spans="1:11" s="263" customFormat="1" ht="17.25" customHeight="1" x14ac:dyDescent="0.25">
      <c r="A316" s="277"/>
      <c r="B316" s="61" t="s">
        <v>22</v>
      </c>
      <c r="C316" s="288"/>
      <c r="D316" s="22"/>
      <c r="E316" s="283">
        <v>15000</v>
      </c>
      <c r="F316" s="283">
        <v>15000</v>
      </c>
      <c r="G316" s="284">
        <f t="shared" si="13"/>
        <v>100</v>
      </c>
      <c r="H316" s="285"/>
      <c r="I316" s="76"/>
      <c r="J316" s="279"/>
      <c r="K316" s="279"/>
    </row>
    <row r="317" spans="1:11" s="263" customFormat="1" ht="96.75" customHeight="1" x14ac:dyDescent="0.25">
      <c r="A317" s="10">
        <v>102</v>
      </c>
      <c r="B317" s="55" t="s">
        <v>295</v>
      </c>
      <c r="C317" s="62" t="s">
        <v>208</v>
      </c>
      <c r="D317" s="17" t="s">
        <v>280</v>
      </c>
      <c r="E317" s="281">
        <v>5000</v>
      </c>
      <c r="F317" s="281">
        <v>5000</v>
      </c>
      <c r="G317" s="282">
        <f t="shared" si="13"/>
        <v>100</v>
      </c>
      <c r="H317" s="57">
        <v>100</v>
      </c>
      <c r="I317" s="76"/>
      <c r="J317" s="23" t="s">
        <v>525</v>
      </c>
      <c r="K317" s="279"/>
    </row>
    <row r="318" spans="1:11" s="263" customFormat="1" ht="17.25" customHeight="1" x14ac:dyDescent="0.25">
      <c r="A318" s="277"/>
      <c r="B318" s="61" t="s">
        <v>22</v>
      </c>
      <c r="C318" s="288"/>
      <c r="D318" s="22"/>
      <c r="E318" s="283">
        <v>5000</v>
      </c>
      <c r="F318" s="283">
        <v>5000</v>
      </c>
      <c r="G318" s="284">
        <f t="shared" si="13"/>
        <v>100</v>
      </c>
      <c r="H318" s="285"/>
      <c r="I318" s="76"/>
      <c r="J318" s="279"/>
      <c r="K318" s="279"/>
    </row>
    <row r="319" spans="1:11" ht="82.5" customHeight="1" x14ac:dyDescent="0.25">
      <c r="A319" s="10">
        <v>103</v>
      </c>
      <c r="B319" s="246" t="s">
        <v>209</v>
      </c>
      <c r="C319" s="62" t="s">
        <v>208</v>
      </c>
      <c r="D319" s="17" t="s">
        <v>16</v>
      </c>
      <c r="E319" s="281">
        <v>10000</v>
      </c>
      <c r="F319" s="281">
        <v>13445</v>
      </c>
      <c r="G319" s="282">
        <f t="shared" si="13"/>
        <v>134.44999999999999</v>
      </c>
      <c r="H319" s="57">
        <v>100</v>
      </c>
      <c r="I319" s="55"/>
      <c r="J319" s="23" t="s">
        <v>525</v>
      </c>
      <c r="K319" s="55"/>
    </row>
    <row r="320" spans="1:11" s="263" customFormat="1" ht="17.25" customHeight="1" x14ac:dyDescent="0.25">
      <c r="A320" s="277"/>
      <c r="B320" s="61" t="s">
        <v>22</v>
      </c>
      <c r="C320" s="288"/>
      <c r="D320" s="22"/>
      <c r="E320" s="283">
        <v>10000</v>
      </c>
      <c r="F320" s="283">
        <v>13445</v>
      </c>
      <c r="G320" s="284">
        <f t="shared" si="13"/>
        <v>134.44999999999999</v>
      </c>
      <c r="H320" s="285"/>
      <c r="I320" s="76"/>
      <c r="J320" s="279"/>
      <c r="K320" s="279"/>
    </row>
    <row r="321" spans="1:11" s="263" customFormat="1" ht="96.75" customHeight="1" x14ac:dyDescent="0.25">
      <c r="A321" s="10">
        <v>104</v>
      </c>
      <c r="B321" s="55" t="s">
        <v>295</v>
      </c>
      <c r="C321" s="62" t="s">
        <v>210</v>
      </c>
      <c r="D321" s="17">
        <v>2017</v>
      </c>
      <c r="E321" s="281">
        <v>5000</v>
      </c>
      <c r="F321" s="281">
        <v>4200</v>
      </c>
      <c r="G321" s="282">
        <f t="shared" si="13"/>
        <v>84</v>
      </c>
      <c r="H321" s="57">
        <v>100</v>
      </c>
      <c r="I321" s="76"/>
      <c r="J321" s="37" t="s">
        <v>380</v>
      </c>
      <c r="K321" s="279"/>
    </row>
    <row r="322" spans="1:11" s="263" customFormat="1" ht="17.25" customHeight="1" x14ac:dyDescent="0.25">
      <c r="A322" s="277"/>
      <c r="B322" s="61" t="s">
        <v>22</v>
      </c>
      <c r="C322" s="288"/>
      <c r="D322" s="22"/>
      <c r="E322" s="283">
        <v>5000</v>
      </c>
      <c r="F322" s="283">
        <v>4200</v>
      </c>
      <c r="G322" s="284">
        <f t="shared" si="13"/>
        <v>84</v>
      </c>
      <c r="H322" s="285"/>
      <c r="I322" s="76"/>
      <c r="J322" s="279"/>
      <c r="K322" s="279"/>
    </row>
    <row r="323" spans="1:11" ht="81.75" customHeight="1" x14ac:dyDescent="0.25">
      <c r="A323" s="10">
        <v>105</v>
      </c>
      <c r="B323" s="55" t="s">
        <v>201</v>
      </c>
      <c r="C323" s="62" t="s">
        <v>210</v>
      </c>
      <c r="D323" s="17" t="s">
        <v>211</v>
      </c>
      <c r="E323" s="281">
        <v>5000</v>
      </c>
      <c r="F323" s="281">
        <v>4260.5</v>
      </c>
      <c r="G323" s="282">
        <f t="shared" si="13"/>
        <v>85.21</v>
      </c>
      <c r="H323" s="57">
        <v>100</v>
      </c>
      <c r="I323" s="48"/>
      <c r="J323" s="23" t="s">
        <v>399</v>
      </c>
      <c r="K323" s="14"/>
    </row>
    <row r="324" spans="1:11" s="263" customFormat="1" ht="17.25" customHeight="1" x14ac:dyDescent="0.25">
      <c r="A324" s="277"/>
      <c r="B324" s="61" t="s">
        <v>22</v>
      </c>
      <c r="C324" s="288"/>
      <c r="D324" s="22"/>
      <c r="E324" s="283">
        <v>5000</v>
      </c>
      <c r="F324" s="283">
        <v>4260.5</v>
      </c>
      <c r="G324" s="284">
        <f t="shared" si="13"/>
        <v>85.21</v>
      </c>
      <c r="H324" s="285"/>
      <c r="I324" s="76"/>
      <c r="J324" s="76"/>
      <c r="K324" s="279"/>
    </row>
    <row r="325" spans="1:11" s="263" customFormat="1" ht="83.25" customHeight="1" x14ac:dyDescent="0.25">
      <c r="A325" s="10">
        <v>106</v>
      </c>
      <c r="B325" s="55" t="s">
        <v>548</v>
      </c>
      <c r="C325" s="62" t="s">
        <v>210</v>
      </c>
      <c r="D325" s="17">
        <v>2017</v>
      </c>
      <c r="E325" s="281">
        <v>5000</v>
      </c>
      <c r="F325" s="281">
        <v>2753.28</v>
      </c>
      <c r="G325" s="282">
        <f t="shared" si="13"/>
        <v>55.065600000000003</v>
      </c>
      <c r="H325" s="57">
        <v>100</v>
      </c>
      <c r="I325" s="76"/>
      <c r="J325" s="37" t="s">
        <v>380</v>
      </c>
      <c r="K325" s="279"/>
    </row>
    <row r="326" spans="1:11" s="263" customFormat="1" ht="23.25" customHeight="1" x14ac:dyDescent="0.25">
      <c r="A326" s="277"/>
      <c r="B326" s="61" t="s">
        <v>22</v>
      </c>
      <c r="C326" s="288"/>
      <c r="D326" s="22"/>
      <c r="E326" s="283">
        <v>5000</v>
      </c>
      <c r="F326" s="283">
        <v>2753.28</v>
      </c>
      <c r="G326" s="284">
        <f t="shared" si="13"/>
        <v>55.065600000000003</v>
      </c>
      <c r="H326" s="285"/>
      <c r="I326" s="76"/>
      <c r="J326" s="76"/>
      <c r="K326" s="279"/>
    </row>
    <row r="327" spans="1:11" ht="21" customHeight="1" x14ac:dyDescent="0.25">
      <c r="A327" s="10"/>
      <c r="B327" s="28" t="s">
        <v>54</v>
      </c>
      <c r="C327" s="62"/>
      <c r="D327" s="17"/>
      <c r="E327" s="298">
        <f>E328+E329+E330</f>
        <v>4335107</v>
      </c>
      <c r="F327" s="298">
        <f>F328+F329+F330</f>
        <v>4452446.91</v>
      </c>
      <c r="G327" s="299">
        <f t="shared" si="13"/>
        <v>102.70673618897987</v>
      </c>
      <c r="H327" s="57"/>
      <c r="I327" s="48"/>
      <c r="J327" s="48"/>
      <c r="K327" s="14"/>
    </row>
    <row r="328" spans="1:11" s="263" customFormat="1" ht="17.25" customHeight="1" x14ac:dyDescent="0.25">
      <c r="A328" s="277"/>
      <c r="B328" s="24" t="s">
        <v>13</v>
      </c>
      <c r="C328" s="288"/>
      <c r="D328" s="22"/>
      <c r="E328" s="283">
        <f>E179+E181+E183+E185+E187+E189+E191+E193+E195+E200+E202+E204+E206+E208+E222+E224+E226+E228+E230+E232+E234+E236+E238+E240+E242</f>
        <v>3815107</v>
      </c>
      <c r="F328" s="283">
        <f>F179+F181+F183+F185+F187+F189+F191+F193+F195+F200+F202+F204+F206+F208+F222+F224+F226+F228+F230+F232+F234+F236+F238+F240+F242</f>
        <v>3930190.11</v>
      </c>
      <c r="G328" s="284">
        <f t="shared" si="13"/>
        <v>103.01651067715794</v>
      </c>
      <c r="H328" s="285"/>
      <c r="I328" s="76"/>
      <c r="J328" s="76"/>
      <c r="K328" s="279"/>
    </row>
    <row r="329" spans="1:11" s="263" customFormat="1" ht="17.25" customHeight="1" x14ac:dyDescent="0.25">
      <c r="A329" s="277"/>
      <c r="B329" s="61" t="s">
        <v>22</v>
      </c>
      <c r="C329" s="288"/>
      <c r="D329" s="22"/>
      <c r="E329" s="283">
        <f>E245+E247+E249+E253+E255+E257+E259+E261+E263+E265+E267+E269+E271+E273+E275+E277+E279+E281+E283+E285+E287+E289+E291+E293+E295+E297+E299+E301+E303+E305+E307+E309+E311+E313+E315+E317+E319+E321+E323+E325</f>
        <v>500000</v>
      </c>
      <c r="F329" s="283">
        <f>F245+F247+F249+F253+F255+F257+F259+F261+F263+F265+F267+F269+F271+F273+F275+F277+F279+F281+F283+F285+F287+F289+F291+F293+F295+F297+F299+F301+F303+F305+F307+F309+F311+F313+F315+F317+F319+F321+F323+F325</f>
        <v>468573.10000000003</v>
      </c>
      <c r="G329" s="284">
        <f t="shared" si="13"/>
        <v>93.714620000000011</v>
      </c>
      <c r="H329" s="285"/>
      <c r="I329" s="76"/>
      <c r="J329" s="76"/>
      <c r="K329" s="279"/>
    </row>
    <row r="330" spans="1:11" s="263" customFormat="1" ht="34.5" customHeight="1" x14ac:dyDescent="0.25">
      <c r="A330" s="277"/>
      <c r="B330" s="61" t="s">
        <v>139</v>
      </c>
      <c r="C330" s="288"/>
      <c r="D330" s="22"/>
      <c r="E330" s="283">
        <f>E251</f>
        <v>20000</v>
      </c>
      <c r="F330" s="283">
        <f>F251</f>
        <v>53683.7</v>
      </c>
      <c r="G330" s="284">
        <f t="shared" si="13"/>
        <v>268.41849999999999</v>
      </c>
      <c r="H330" s="285"/>
      <c r="I330" s="76"/>
      <c r="J330" s="76"/>
      <c r="K330" s="279"/>
    </row>
    <row r="331" spans="1:11" ht="26.25" customHeight="1" x14ac:dyDescent="0.25">
      <c r="A331" s="541" t="s">
        <v>212</v>
      </c>
      <c r="B331" s="541"/>
      <c r="C331" s="541"/>
      <c r="D331" s="541"/>
      <c r="E331" s="541"/>
      <c r="F331" s="541"/>
      <c r="G331" s="541"/>
      <c r="H331" s="541"/>
      <c r="I331" s="541"/>
      <c r="J331" s="541"/>
      <c r="K331" s="541"/>
    </row>
    <row r="332" spans="1:11" ht="89.25" customHeight="1" x14ac:dyDescent="0.25">
      <c r="A332" s="10">
        <v>107</v>
      </c>
      <c r="B332" s="55" t="s">
        <v>213</v>
      </c>
      <c r="C332" s="62" t="s">
        <v>149</v>
      </c>
      <c r="D332" s="17" t="s">
        <v>16</v>
      </c>
      <c r="E332" s="281">
        <v>1600</v>
      </c>
      <c r="F332" s="281">
        <v>1601</v>
      </c>
      <c r="G332" s="282">
        <f>F332/E332*100</f>
        <v>100.06250000000001</v>
      </c>
      <c r="H332" s="57">
        <v>100</v>
      </c>
      <c r="I332" s="48"/>
      <c r="J332" s="23" t="s">
        <v>525</v>
      </c>
      <c r="K332" s="14"/>
    </row>
    <row r="333" spans="1:11" s="263" customFormat="1" ht="15.75" customHeight="1" x14ac:dyDescent="0.25">
      <c r="A333" s="277"/>
      <c r="B333" s="61" t="s">
        <v>19</v>
      </c>
      <c r="C333" s="288"/>
      <c r="D333" s="22"/>
      <c r="E333" s="283">
        <f>E336+E335+E337</f>
        <v>1600</v>
      </c>
      <c r="F333" s="283">
        <f>F336+F335+F337</f>
        <v>1601</v>
      </c>
      <c r="G333" s="284">
        <f t="shared" ref="G333:G399" si="14">F333/E333*100</f>
        <v>100.06250000000001</v>
      </c>
      <c r="H333" s="285"/>
      <c r="I333" s="76"/>
      <c r="J333" s="76"/>
      <c r="K333" s="279"/>
    </row>
    <row r="334" spans="1:11" s="263" customFormat="1" ht="22.5" customHeight="1" x14ac:dyDescent="0.25">
      <c r="A334" s="277"/>
      <c r="B334" s="55" t="s">
        <v>155</v>
      </c>
      <c r="C334" s="288"/>
      <c r="D334" s="22"/>
      <c r="E334" s="283"/>
      <c r="F334" s="283"/>
      <c r="G334" s="284"/>
      <c r="H334" s="285"/>
      <c r="I334" s="76"/>
      <c r="J334" s="76"/>
      <c r="K334" s="279"/>
    </row>
    <row r="335" spans="1:11" s="263" customFormat="1" ht="22.5" customHeight="1" x14ac:dyDescent="0.25">
      <c r="A335" s="277"/>
      <c r="B335" s="55" t="s">
        <v>164</v>
      </c>
      <c r="C335" s="288"/>
      <c r="D335" s="22"/>
      <c r="E335" s="283">
        <v>400</v>
      </c>
      <c r="F335" s="283">
        <v>400</v>
      </c>
      <c r="G335" s="284">
        <f t="shared" si="14"/>
        <v>100</v>
      </c>
      <c r="H335" s="285"/>
      <c r="I335" s="76"/>
      <c r="J335" s="76"/>
      <c r="K335" s="279"/>
    </row>
    <row r="336" spans="1:11" s="263" customFormat="1" ht="22.5" customHeight="1" x14ac:dyDescent="0.25">
      <c r="A336" s="277"/>
      <c r="B336" s="55" t="s">
        <v>214</v>
      </c>
      <c r="C336" s="288"/>
      <c r="D336" s="22"/>
      <c r="E336" s="283">
        <v>800</v>
      </c>
      <c r="F336" s="283">
        <v>801</v>
      </c>
      <c r="G336" s="284">
        <f t="shared" si="14"/>
        <v>100.125</v>
      </c>
      <c r="H336" s="285"/>
      <c r="I336" s="76"/>
      <c r="J336" s="76"/>
      <c r="K336" s="279"/>
    </row>
    <row r="337" spans="1:11" s="263" customFormat="1" ht="22.5" customHeight="1" x14ac:dyDescent="0.25">
      <c r="A337" s="277"/>
      <c r="B337" s="55" t="s">
        <v>215</v>
      </c>
      <c r="C337" s="288"/>
      <c r="D337" s="22"/>
      <c r="E337" s="283">
        <v>400</v>
      </c>
      <c r="F337" s="283">
        <v>400</v>
      </c>
      <c r="G337" s="284">
        <f t="shared" si="14"/>
        <v>100</v>
      </c>
      <c r="H337" s="285"/>
      <c r="I337" s="76"/>
      <c r="J337" s="76"/>
      <c r="K337" s="279"/>
    </row>
    <row r="338" spans="1:11" ht="69.75" customHeight="1" x14ac:dyDescent="0.25">
      <c r="A338" s="10">
        <v>108</v>
      </c>
      <c r="B338" s="55" t="s">
        <v>216</v>
      </c>
      <c r="C338" s="62" t="s">
        <v>149</v>
      </c>
      <c r="D338" s="17" t="s">
        <v>16</v>
      </c>
      <c r="E338" s="281">
        <v>1800</v>
      </c>
      <c r="F338" s="281">
        <v>1800</v>
      </c>
      <c r="G338" s="282">
        <f t="shared" si="14"/>
        <v>100</v>
      </c>
      <c r="H338" s="57">
        <v>100</v>
      </c>
      <c r="I338" s="48"/>
      <c r="J338" s="23" t="s">
        <v>525</v>
      </c>
      <c r="K338" s="14"/>
    </row>
    <row r="339" spans="1:11" s="263" customFormat="1" ht="15.75" customHeight="1" x14ac:dyDescent="0.25">
      <c r="A339" s="277"/>
      <c r="B339" s="61" t="s">
        <v>19</v>
      </c>
      <c r="C339" s="288"/>
      <c r="D339" s="22"/>
      <c r="E339" s="283">
        <f>E342+E341+E343</f>
        <v>1800</v>
      </c>
      <c r="F339" s="283">
        <f>F342+F341+F343</f>
        <v>1800</v>
      </c>
      <c r="G339" s="284">
        <f t="shared" si="14"/>
        <v>100</v>
      </c>
      <c r="H339" s="285"/>
      <c r="I339" s="76"/>
      <c r="J339" s="76"/>
      <c r="K339" s="279"/>
    </row>
    <row r="340" spans="1:11" s="263" customFormat="1" ht="22.5" customHeight="1" x14ac:dyDescent="0.25">
      <c r="A340" s="277"/>
      <c r="B340" s="55" t="s">
        <v>155</v>
      </c>
      <c r="C340" s="288"/>
      <c r="D340" s="22"/>
      <c r="E340" s="283"/>
      <c r="F340" s="283"/>
      <c r="G340" s="284"/>
      <c r="H340" s="285"/>
      <c r="I340" s="76"/>
      <c r="J340" s="76"/>
      <c r="K340" s="279"/>
    </row>
    <row r="341" spans="1:11" s="263" customFormat="1" ht="22.5" customHeight="1" x14ac:dyDescent="0.25">
      <c r="A341" s="277"/>
      <c r="B341" s="55" t="s">
        <v>164</v>
      </c>
      <c r="C341" s="288"/>
      <c r="D341" s="22"/>
      <c r="E341" s="283">
        <v>400</v>
      </c>
      <c r="F341" s="283">
        <v>400</v>
      </c>
      <c r="G341" s="284">
        <f t="shared" si="14"/>
        <v>100</v>
      </c>
      <c r="H341" s="285"/>
      <c r="I341" s="76"/>
      <c r="J341" s="76"/>
      <c r="K341" s="279"/>
    </row>
    <row r="342" spans="1:11" s="263" customFormat="1" ht="20.25" customHeight="1" x14ac:dyDescent="0.25">
      <c r="A342" s="277"/>
      <c r="B342" s="55" t="s">
        <v>214</v>
      </c>
      <c r="C342" s="288"/>
      <c r="D342" s="22"/>
      <c r="E342" s="283">
        <v>800</v>
      </c>
      <c r="F342" s="283">
        <v>800</v>
      </c>
      <c r="G342" s="284">
        <f t="shared" si="14"/>
        <v>100</v>
      </c>
      <c r="H342" s="285"/>
      <c r="I342" s="76"/>
      <c r="J342" s="76"/>
      <c r="K342" s="279"/>
    </row>
    <row r="343" spans="1:11" s="263" customFormat="1" ht="21" customHeight="1" x14ac:dyDescent="0.25">
      <c r="A343" s="277"/>
      <c r="B343" s="55" t="s">
        <v>215</v>
      </c>
      <c r="C343" s="288"/>
      <c r="D343" s="22"/>
      <c r="E343" s="283">
        <v>600</v>
      </c>
      <c r="F343" s="283">
        <v>600</v>
      </c>
      <c r="G343" s="284">
        <f t="shared" si="14"/>
        <v>100</v>
      </c>
      <c r="H343" s="285"/>
      <c r="I343" s="76"/>
      <c r="J343" s="76"/>
      <c r="K343" s="279"/>
    </row>
    <row r="344" spans="1:11" ht="117.75" customHeight="1" x14ac:dyDescent="0.25">
      <c r="A344" s="10">
        <v>109</v>
      </c>
      <c r="B344" s="55" t="s">
        <v>217</v>
      </c>
      <c r="C344" s="62" t="s">
        <v>149</v>
      </c>
      <c r="D344" s="17" t="s">
        <v>16</v>
      </c>
      <c r="E344" s="281">
        <v>900</v>
      </c>
      <c r="F344" s="281">
        <v>920</v>
      </c>
      <c r="G344" s="282">
        <f t="shared" si="14"/>
        <v>102.22222222222221</v>
      </c>
      <c r="H344" s="57">
        <v>100</v>
      </c>
      <c r="I344" s="48"/>
      <c r="J344" s="23" t="s">
        <v>525</v>
      </c>
      <c r="K344" s="14"/>
    </row>
    <row r="345" spans="1:11" s="263" customFormat="1" ht="22.5" customHeight="1" x14ac:dyDescent="0.25">
      <c r="A345" s="277"/>
      <c r="B345" s="61" t="s">
        <v>19</v>
      </c>
      <c r="C345" s="288"/>
      <c r="D345" s="22"/>
      <c r="E345" s="283">
        <f>E348+E347+E349</f>
        <v>900</v>
      </c>
      <c r="F345" s="283">
        <f>F348+F347+F349</f>
        <v>920</v>
      </c>
      <c r="G345" s="284">
        <f t="shared" si="14"/>
        <v>102.22222222222221</v>
      </c>
      <c r="H345" s="285"/>
      <c r="I345" s="76"/>
      <c r="J345" s="76"/>
      <c r="K345" s="279"/>
    </row>
    <row r="346" spans="1:11" ht="18.75" customHeight="1" x14ac:dyDescent="0.25">
      <c r="A346" s="10"/>
      <c r="B346" s="55" t="s">
        <v>155</v>
      </c>
      <c r="C346" s="62"/>
      <c r="D346" s="17"/>
      <c r="E346" s="281"/>
      <c r="F346" s="281"/>
      <c r="G346" s="282"/>
      <c r="H346" s="57"/>
      <c r="I346" s="48"/>
      <c r="J346" s="48"/>
      <c r="K346" s="14"/>
    </row>
    <row r="347" spans="1:11" ht="20.25" customHeight="1" x14ac:dyDescent="0.25">
      <c r="A347" s="10"/>
      <c r="B347" s="55" t="s">
        <v>164</v>
      </c>
      <c r="C347" s="62"/>
      <c r="D347" s="17"/>
      <c r="E347" s="281">
        <v>200</v>
      </c>
      <c r="F347" s="281">
        <v>200</v>
      </c>
      <c r="G347" s="282">
        <f t="shared" si="14"/>
        <v>100</v>
      </c>
      <c r="H347" s="57"/>
      <c r="I347" s="48"/>
      <c r="J347" s="48"/>
      <c r="K347" s="14"/>
    </row>
    <row r="348" spans="1:11" ht="20.25" customHeight="1" x14ac:dyDescent="0.25">
      <c r="A348" s="10"/>
      <c r="B348" s="55" t="s">
        <v>214</v>
      </c>
      <c r="C348" s="62"/>
      <c r="D348" s="17"/>
      <c r="E348" s="281">
        <v>200</v>
      </c>
      <c r="F348" s="281">
        <v>220</v>
      </c>
      <c r="G348" s="282">
        <f t="shared" si="14"/>
        <v>110.00000000000001</v>
      </c>
      <c r="H348" s="57"/>
      <c r="I348" s="48"/>
      <c r="J348" s="48"/>
      <c r="K348" s="14"/>
    </row>
    <row r="349" spans="1:11" ht="19.5" customHeight="1" x14ac:dyDescent="0.25">
      <c r="A349" s="10"/>
      <c r="B349" s="55" t="s">
        <v>215</v>
      </c>
      <c r="C349" s="62"/>
      <c r="D349" s="17"/>
      <c r="E349" s="281">
        <v>500</v>
      </c>
      <c r="F349" s="281">
        <v>500</v>
      </c>
      <c r="G349" s="282">
        <f t="shared" si="14"/>
        <v>100</v>
      </c>
      <c r="H349" s="57"/>
      <c r="I349" s="48"/>
      <c r="J349" s="48"/>
      <c r="K349" s="14"/>
    </row>
    <row r="350" spans="1:11" s="302" customFormat="1" ht="85.5" customHeight="1" x14ac:dyDescent="0.25">
      <c r="A350" s="289">
        <v>110</v>
      </c>
      <c r="B350" s="55" t="s">
        <v>218</v>
      </c>
      <c r="C350" s="67" t="s">
        <v>149</v>
      </c>
      <c r="D350" s="68" t="s">
        <v>16</v>
      </c>
      <c r="E350" s="290">
        <v>23200</v>
      </c>
      <c r="F350" s="281">
        <v>26250</v>
      </c>
      <c r="G350" s="291">
        <f t="shared" si="14"/>
        <v>113.14655172413792</v>
      </c>
      <c r="H350" s="57">
        <v>100</v>
      </c>
      <c r="I350" s="300"/>
      <c r="J350" s="293" t="s">
        <v>525</v>
      </c>
      <c r="K350" s="301"/>
    </row>
    <row r="351" spans="1:11" s="263" customFormat="1" ht="23.25" customHeight="1" x14ac:dyDescent="0.25">
      <c r="A351" s="277"/>
      <c r="B351" s="61" t="s">
        <v>19</v>
      </c>
      <c r="C351" s="288"/>
      <c r="D351" s="22"/>
      <c r="E351" s="283">
        <f>E353+E354</f>
        <v>23200</v>
      </c>
      <c r="F351" s="283">
        <f>F353+F354</f>
        <v>26250</v>
      </c>
      <c r="G351" s="284">
        <f t="shared" si="14"/>
        <v>113.14655172413792</v>
      </c>
      <c r="H351" s="285"/>
      <c r="I351" s="76"/>
      <c r="J351" s="76"/>
      <c r="K351" s="279"/>
    </row>
    <row r="352" spans="1:11" ht="18.75" customHeight="1" x14ac:dyDescent="0.25">
      <c r="A352" s="10"/>
      <c r="B352" s="55" t="s">
        <v>155</v>
      </c>
      <c r="C352" s="62"/>
      <c r="D352" s="17"/>
      <c r="E352" s="281"/>
      <c r="F352" s="281"/>
      <c r="G352" s="282"/>
      <c r="H352" s="57"/>
      <c r="I352" s="48"/>
      <c r="J352" s="48"/>
      <c r="K352" s="14"/>
    </row>
    <row r="353" spans="1:11" ht="23.25" customHeight="1" x14ac:dyDescent="0.25">
      <c r="A353" s="10"/>
      <c r="B353" s="55" t="s">
        <v>214</v>
      </c>
      <c r="C353" s="62"/>
      <c r="D353" s="17"/>
      <c r="E353" s="281">
        <v>22500</v>
      </c>
      <c r="F353" s="281">
        <v>25550</v>
      </c>
      <c r="G353" s="282">
        <f t="shared" si="14"/>
        <v>113.55555555555557</v>
      </c>
      <c r="H353" s="57"/>
      <c r="I353" s="48"/>
      <c r="J353" s="48"/>
      <c r="K353" s="14"/>
    </row>
    <row r="354" spans="1:11" ht="22.5" customHeight="1" x14ac:dyDescent="0.25">
      <c r="A354" s="10"/>
      <c r="B354" s="55" t="s">
        <v>215</v>
      </c>
      <c r="C354" s="62"/>
      <c r="D354" s="17"/>
      <c r="E354" s="281">
        <v>700</v>
      </c>
      <c r="F354" s="281">
        <v>700</v>
      </c>
      <c r="G354" s="282">
        <f t="shared" si="14"/>
        <v>100</v>
      </c>
      <c r="H354" s="57"/>
      <c r="I354" s="48"/>
      <c r="J354" s="48"/>
      <c r="K354" s="14"/>
    </row>
    <row r="355" spans="1:11" s="302" customFormat="1" ht="94.5" customHeight="1" x14ac:dyDescent="0.25">
      <c r="A355" s="289">
        <v>111</v>
      </c>
      <c r="B355" s="55" t="s">
        <v>219</v>
      </c>
      <c r="C355" s="67" t="s">
        <v>149</v>
      </c>
      <c r="D355" s="68" t="s">
        <v>16</v>
      </c>
      <c r="E355" s="290">
        <v>900</v>
      </c>
      <c r="F355" s="281">
        <v>900</v>
      </c>
      <c r="G355" s="291">
        <f t="shared" si="14"/>
        <v>100</v>
      </c>
      <c r="H355" s="57">
        <v>100</v>
      </c>
      <c r="I355" s="300"/>
      <c r="J355" s="293" t="s">
        <v>525</v>
      </c>
      <c r="K355" s="301"/>
    </row>
    <row r="356" spans="1:11" s="263" customFormat="1" ht="20.25" customHeight="1" x14ac:dyDescent="0.25">
      <c r="A356" s="277"/>
      <c r="B356" s="61" t="s">
        <v>19</v>
      </c>
      <c r="C356" s="288"/>
      <c r="D356" s="22"/>
      <c r="E356" s="283">
        <f>E358+E359+E360</f>
        <v>900</v>
      </c>
      <c r="F356" s="283">
        <v>900</v>
      </c>
      <c r="G356" s="284">
        <f t="shared" si="14"/>
        <v>100</v>
      </c>
      <c r="H356" s="285"/>
      <c r="I356" s="76"/>
      <c r="J356" s="76"/>
      <c r="K356" s="279"/>
    </row>
    <row r="357" spans="1:11" ht="21" customHeight="1" x14ac:dyDescent="0.25">
      <c r="A357" s="10"/>
      <c r="B357" s="55" t="s">
        <v>155</v>
      </c>
      <c r="C357" s="62"/>
      <c r="D357" s="17"/>
      <c r="E357" s="281"/>
      <c r="F357" s="281"/>
      <c r="G357" s="282"/>
      <c r="H357" s="57"/>
      <c r="I357" s="48"/>
      <c r="J357" s="48"/>
      <c r="K357" s="14"/>
    </row>
    <row r="358" spans="1:11" ht="23.25" customHeight="1" x14ac:dyDescent="0.25">
      <c r="A358" s="10"/>
      <c r="B358" s="55" t="s">
        <v>164</v>
      </c>
      <c r="C358" s="62"/>
      <c r="D358" s="17"/>
      <c r="E358" s="281">
        <v>200</v>
      </c>
      <c r="F358" s="281">
        <v>200</v>
      </c>
      <c r="G358" s="282">
        <f t="shared" si="14"/>
        <v>100</v>
      </c>
      <c r="H358" s="57"/>
      <c r="I358" s="48"/>
      <c r="J358" s="48"/>
      <c r="K358" s="14"/>
    </row>
    <row r="359" spans="1:11" ht="23.25" customHeight="1" x14ac:dyDescent="0.25">
      <c r="A359" s="10"/>
      <c r="B359" s="55" t="s">
        <v>214</v>
      </c>
      <c r="C359" s="62"/>
      <c r="D359" s="17"/>
      <c r="E359" s="281">
        <v>200</v>
      </c>
      <c r="F359" s="281">
        <v>200</v>
      </c>
      <c r="G359" s="282">
        <f t="shared" si="14"/>
        <v>100</v>
      </c>
      <c r="H359" s="57"/>
      <c r="I359" s="48"/>
      <c r="J359" s="48"/>
      <c r="K359" s="14"/>
    </row>
    <row r="360" spans="1:11" ht="22.5" customHeight="1" x14ac:dyDescent="0.25">
      <c r="A360" s="10"/>
      <c r="B360" s="55" t="s">
        <v>215</v>
      </c>
      <c r="C360" s="62"/>
      <c r="D360" s="17"/>
      <c r="E360" s="281">
        <v>500</v>
      </c>
      <c r="F360" s="281">
        <v>500</v>
      </c>
      <c r="G360" s="282">
        <f t="shared" si="14"/>
        <v>100</v>
      </c>
      <c r="H360" s="57"/>
      <c r="I360" s="48"/>
      <c r="J360" s="48"/>
      <c r="K360" s="14"/>
    </row>
    <row r="361" spans="1:11" ht="63.75" customHeight="1" x14ac:dyDescent="0.25">
      <c r="A361" s="10">
        <v>112</v>
      </c>
      <c r="B361" s="55" t="s">
        <v>220</v>
      </c>
      <c r="C361" s="62" t="s">
        <v>149</v>
      </c>
      <c r="D361" s="17" t="s">
        <v>16</v>
      </c>
      <c r="E361" s="281">
        <v>1200</v>
      </c>
      <c r="F361" s="281">
        <v>1195.1500000000001</v>
      </c>
      <c r="G361" s="282">
        <f t="shared" si="14"/>
        <v>99.595833333333346</v>
      </c>
      <c r="H361" s="57">
        <v>100</v>
      </c>
      <c r="I361" s="48"/>
      <c r="J361" s="23" t="s">
        <v>525</v>
      </c>
      <c r="K361" s="14"/>
    </row>
    <row r="362" spans="1:11" s="263" customFormat="1" ht="21" customHeight="1" x14ac:dyDescent="0.25">
      <c r="A362" s="277"/>
      <c r="B362" s="533" t="s">
        <v>13</v>
      </c>
      <c r="C362" s="288"/>
      <c r="D362" s="22"/>
      <c r="E362" s="283">
        <f>E364+E365</f>
        <v>1200</v>
      </c>
      <c r="F362" s="283">
        <f>F364+F365</f>
        <v>1195.1500000000001</v>
      </c>
      <c r="G362" s="284">
        <f t="shared" si="14"/>
        <v>99.595833333333346</v>
      </c>
      <c r="H362" s="285"/>
      <c r="I362" s="76"/>
      <c r="J362" s="534">
        <f>E362+E367+E382</f>
        <v>15929</v>
      </c>
      <c r="K362" s="534">
        <f>F362+F367+F382</f>
        <v>15923.1</v>
      </c>
    </row>
    <row r="363" spans="1:11" ht="19.5" customHeight="1" x14ac:dyDescent="0.25">
      <c r="A363" s="10"/>
      <c r="B363" s="55" t="s">
        <v>155</v>
      </c>
      <c r="C363" s="62"/>
      <c r="D363" s="17"/>
      <c r="E363" s="281"/>
      <c r="F363" s="281"/>
      <c r="G363" s="282"/>
      <c r="H363" s="57"/>
      <c r="I363" s="48"/>
      <c r="J363" s="48"/>
      <c r="K363" s="14"/>
    </row>
    <row r="364" spans="1:11" ht="22.5" customHeight="1" x14ac:dyDescent="0.25">
      <c r="A364" s="10"/>
      <c r="B364" s="55" t="s">
        <v>164</v>
      </c>
      <c r="C364" s="62"/>
      <c r="D364" s="17"/>
      <c r="E364" s="281">
        <v>200</v>
      </c>
      <c r="F364" s="281">
        <v>195.15</v>
      </c>
      <c r="G364" s="282">
        <v>0</v>
      </c>
      <c r="H364" s="57"/>
      <c r="I364" s="48"/>
      <c r="J364" s="48"/>
      <c r="K364" s="14"/>
    </row>
    <row r="365" spans="1:11" ht="24" customHeight="1" x14ac:dyDescent="0.25">
      <c r="A365" s="10"/>
      <c r="B365" s="55" t="s">
        <v>214</v>
      </c>
      <c r="C365" s="62"/>
      <c r="D365" s="17"/>
      <c r="E365" s="281">
        <v>1000</v>
      </c>
      <c r="F365" s="281">
        <v>1000</v>
      </c>
      <c r="G365" s="282">
        <f t="shared" si="14"/>
        <v>100</v>
      </c>
      <c r="H365" s="57"/>
      <c r="I365" s="48"/>
      <c r="J365" s="48"/>
      <c r="K365" s="14"/>
    </row>
    <row r="366" spans="1:11" ht="50.25" customHeight="1" x14ac:dyDescent="0.25">
      <c r="A366" s="10">
        <v>113</v>
      </c>
      <c r="B366" s="55" t="s">
        <v>549</v>
      </c>
      <c r="C366" s="62" t="s">
        <v>149</v>
      </c>
      <c r="D366" s="17"/>
      <c r="E366" s="281">
        <v>1800</v>
      </c>
      <c r="F366" s="281">
        <f>F367</f>
        <v>1798.95</v>
      </c>
      <c r="G366" s="282">
        <f t="shared" si="14"/>
        <v>99.941666666666677</v>
      </c>
      <c r="H366" s="57">
        <v>100</v>
      </c>
      <c r="I366" s="48"/>
      <c r="J366" s="23" t="s">
        <v>449</v>
      </c>
      <c r="K366" s="14"/>
    </row>
    <row r="367" spans="1:11" s="263" customFormat="1" ht="24" customHeight="1" x14ac:dyDescent="0.25">
      <c r="A367" s="277"/>
      <c r="B367" s="61" t="s">
        <v>13</v>
      </c>
      <c r="C367" s="288"/>
      <c r="D367" s="22"/>
      <c r="E367" s="283">
        <f>E369+E370</f>
        <v>1800</v>
      </c>
      <c r="F367" s="283">
        <f>F369+F370</f>
        <v>1798.95</v>
      </c>
      <c r="G367" s="284">
        <f t="shared" si="14"/>
        <v>99.941666666666677</v>
      </c>
      <c r="H367" s="285"/>
      <c r="I367" s="76"/>
      <c r="J367" s="76"/>
      <c r="K367" s="279"/>
    </row>
    <row r="368" spans="1:11" ht="19.5" customHeight="1" x14ac:dyDescent="0.25">
      <c r="A368" s="10"/>
      <c r="B368" s="55" t="s">
        <v>155</v>
      </c>
      <c r="C368" s="62"/>
      <c r="D368" s="17"/>
      <c r="E368" s="281"/>
      <c r="F368" s="303"/>
      <c r="G368" s="282"/>
      <c r="H368" s="57"/>
      <c r="I368" s="48"/>
      <c r="J368" s="48"/>
      <c r="K368" s="14"/>
    </row>
    <row r="369" spans="1:11" ht="24" customHeight="1" x14ac:dyDescent="0.25">
      <c r="A369" s="10"/>
      <c r="B369" s="55" t="s">
        <v>164</v>
      </c>
      <c r="C369" s="62"/>
      <c r="D369" s="17"/>
      <c r="E369" s="281">
        <v>300</v>
      </c>
      <c r="F369" s="281">
        <v>299.77</v>
      </c>
      <c r="G369" s="282">
        <f t="shared" si="14"/>
        <v>99.923333333333332</v>
      </c>
      <c r="H369" s="57"/>
      <c r="I369" s="48"/>
      <c r="J369" s="48"/>
      <c r="K369" s="14"/>
    </row>
    <row r="370" spans="1:11" ht="24" customHeight="1" x14ac:dyDescent="0.25">
      <c r="A370" s="10"/>
      <c r="B370" s="55" t="s">
        <v>214</v>
      </c>
      <c r="C370" s="62"/>
      <c r="D370" s="17"/>
      <c r="E370" s="281">
        <v>1500</v>
      </c>
      <c r="F370" s="281">
        <v>1499.18</v>
      </c>
      <c r="G370" s="282">
        <f t="shared" si="14"/>
        <v>99.945333333333338</v>
      </c>
      <c r="H370" s="57"/>
      <c r="I370" s="48"/>
      <c r="J370" s="48"/>
      <c r="K370" s="14"/>
    </row>
    <row r="371" spans="1:11" ht="60.75" customHeight="1" x14ac:dyDescent="0.25">
      <c r="A371" s="10">
        <v>114</v>
      </c>
      <c r="B371" s="55" t="s">
        <v>221</v>
      </c>
      <c r="C371" s="62" t="s">
        <v>149</v>
      </c>
      <c r="D371" s="17" t="s">
        <v>16</v>
      </c>
      <c r="E371" s="281">
        <v>17000</v>
      </c>
      <c r="F371" s="281">
        <v>27831.200000000001</v>
      </c>
      <c r="G371" s="282">
        <f t="shared" si="14"/>
        <v>163.71294117647059</v>
      </c>
      <c r="H371" s="57">
        <v>100</v>
      </c>
      <c r="I371" s="48"/>
      <c r="J371" s="23" t="s">
        <v>525</v>
      </c>
      <c r="K371" s="14"/>
    </row>
    <row r="372" spans="1:11" s="263" customFormat="1" ht="17.25" customHeight="1" x14ac:dyDescent="0.25">
      <c r="A372" s="277"/>
      <c r="B372" s="61" t="s">
        <v>19</v>
      </c>
      <c r="C372" s="288"/>
      <c r="D372" s="22"/>
      <c r="E372" s="283">
        <f>E374+E375+E376</f>
        <v>17000</v>
      </c>
      <c r="F372" s="283">
        <f>F374+F375+F376</f>
        <v>27831.200000000001</v>
      </c>
      <c r="G372" s="284">
        <f t="shared" si="14"/>
        <v>163.71294117647059</v>
      </c>
      <c r="H372" s="285"/>
      <c r="I372" s="279"/>
      <c r="J372" s="279"/>
      <c r="K372" s="279"/>
    </row>
    <row r="373" spans="1:11" ht="17.25" customHeight="1" x14ac:dyDescent="0.25">
      <c r="A373" s="10"/>
      <c r="B373" s="55" t="s">
        <v>155</v>
      </c>
      <c r="C373" s="62"/>
      <c r="D373" s="17"/>
      <c r="E373" s="281"/>
      <c r="F373" s="281"/>
      <c r="G373" s="282"/>
      <c r="H373" s="57"/>
      <c r="I373" s="14"/>
      <c r="J373" s="14"/>
      <c r="K373" s="14"/>
    </row>
    <row r="374" spans="1:11" ht="17.25" customHeight="1" x14ac:dyDescent="0.25">
      <c r="A374" s="10"/>
      <c r="B374" s="55" t="s">
        <v>164</v>
      </c>
      <c r="C374" s="62"/>
      <c r="D374" s="17"/>
      <c r="E374" s="281">
        <v>1000</v>
      </c>
      <c r="F374" s="281">
        <v>1000</v>
      </c>
      <c r="G374" s="282">
        <f t="shared" si="14"/>
        <v>100</v>
      </c>
      <c r="H374" s="57"/>
      <c r="I374" s="14"/>
      <c r="J374" s="14"/>
      <c r="K374" s="14"/>
    </row>
    <row r="375" spans="1:11" ht="19.5" customHeight="1" x14ac:dyDescent="0.25">
      <c r="A375" s="10"/>
      <c r="B375" s="55" t="s">
        <v>214</v>
      </c>
      <c r="C375" s="62"/>
      <c r="D375" s="17"/>
      <c r="E375" s="281">
        <v>12000</v>
      </c>
      <c r="F375" s="281">
        <v>22831.200000000001</v>
      </c>
      <c r="G375" s="282">
        <f t="shared" si="14"/>
        <v>190.26000000000002</v>
      </c>
      <c r="H375" s="57"/>
      <c r="I375" s="14"/>
      <c r="J375" s="14"/>
      <c r="K375" s="14"/>
    </row>
    <row r="376" spans="1:11" ht="17.25" customHeight="1" x14ac:dyDescent="0.25">
      <c r="A376" s="10"/>
      <c r="B376" s="55" t="s">
        <v>215</v>
      </c>
      <c r="C376" s="62"/>
      <c r="D376" s="17"/>
      <c r="E376" s="281">
        <v>4000</v>
      </c>
      <c r="F376" s="281">
        <v>4000</v>
      </c>
      <c r="G376" s="282">
        <f t="shared" si="14"/>
        <v>100</v>
      </c>
      <c r="H376" s="57"/>
      <c r="I376" s="14"/>
      <c r="J376" s="14"/>
      <c r="K376" s="14"/>
    </row>
    <row r="377" spans="1:11" ht="72" customHeight="1" x14ac:dyDescent="0.25">
      <c r="A377" s="10">
        <v>115</v>
      </c>
      <c r="B377" s="55" t="s">
        <v>222</v>
      </c>
      <c r="C377" s="62" t="s">
        <v>149</v>
      </c>
      <c r="D377" s="17" t="s">
        <v>16</v>
      </c>
      <c r="E377" s="281">
        <v>80429</v>
      </c>
      <c r="F377" s="281">
        <f>F378+F382</f>
        <v>73079.199999999997</v>
      </c>
      <c r="G377" s="282">
        <f t="shared" si="14"/>
        <v>90.861753845006149</v>
      </c>
      <c r="H377" s="57">
        <v>100</v>
      </c>
      <c r="I377" s="14"/>
      <c r="J377" s="23" t="s">
        <v>525</v>
      </c>
      <c r="K377" s="14"/>
    </row>
    <row r="378" spans="1:11" s="263" customFormat="1" ht="17.25" customHeight="1" x14ac:dyDescent="0.25">
      <c r="A378" s="277"/>
      <c r="B378" s="61" t="s">
        <v>19</v>
      </c>
      <c r="C378" s="272"/>
      <c r="D378" s="272"/>
      <c r="E378" s="283">
        <f>E380+E381</f>
        <v>67500</v>
      </c>
      <c r="F378" s="283">
        <f>F380+F381</f>
        <v>60150.2</v>
      </c>
      <c r="G378" s="284">
        <f t="shared" si="14"/>
        <v>89.111407407407413</v>
      </c>
      <c r="H378" s="285"/>
      <c r="I378" s="279"/>
      <c r="J378" s="279"/>
      <c r="K378" s="279"/>
    </row>
    <row r="379" spans="1:11" ht="17.25" customHeight="1" x14ac:dyDescent="0.25">
      <c r="A379" s="10"/>
      <c r="B379" s="55" t="s">
        <v>155</v>
      </c>
      <c r="C379" s="1"/>
      <c r="D379" s="1"/>
      <c r="E379" s="281"/>
      <c r="F379" s="281"/>
      <c r="G379" s="282"/>
      <c r="H379" s="57"/>
      <c r="I379" s="14"/>
      <c r="J379" s="14"/>
      <c r="K379" s="14"/>
    </row>
    <row r="380" spans="1:11" ht="17.25" customHeight="1" x14ac:dyDescent="0.25">
      <c r="A380" s="10"/>
      <c r="B380" s="55" t="s">
        <v>214</v>
      </c>
      <c r="C380" s="1"/>
      <c r="D380" s="1"/>
      <c r="E380" s="281">
        <v>60000</v>
      </c>
      <c r="F380" s="281">
        <v>52650.2</v>
      </c>
      <c r="G380" s="282">
        <f t="shared" si="14"/>
        <v>87.75033333333333</v>
      </c>
      <c r="H380" s="57"/>
      <c r="I380" s="14"/>
      <c r="J380" s="14"/>
      <c r="K380" s="14"/>
    </row>
    <row r="381" spans="1:11" ht="17.25" customHeight="1" x14ac:dyDescent="0.25">
      <c r="A381" s="10"/>
      <c r="B381" s="55" t="s">
        <v>215</v>
      </c>
      <c r="C381" s="1"/>
      <c r="D381" s="1"/>
      <c r="E381" s="281">
        <v>7500</v>
      </c>
      <c r="F381" s="281">
        <v>7500</v>
      </c>
      <c r="G381" s="282">
        <f t="shared" si="14"/>
        <v>100</v>
      </c>
      <c r="H381" s="57"/>
      <c r="I381" s="14"/>
      <c r="J381" s="14"/>
      <c r="K381" s="14"/>
    </row>
    <row r="382" spans="1:11" s="263" customFormat="1" ht="17.25" customHeight="1" x14ac:dyDescent="0.25">
      <c r="A382" s="277"/>
      <c r="B382" s="61" t="s">
        <v>13</v>
      </c>
      <c r="C382" s="272"/>
      <c r="D382" s="272"/>
      <c r="E382" s="283">
        <f>E384+E385</f>
        <v>12929</v>
      </c>
      <c r="F382" s="283">
        <f>F384+F385</f>
        <v>12929</v>
      </c>
      <c r="G382" s="284">
        <f t="shared" si="14"/>
        <v>100</v>
      </c>
      <c r="H382" s="285"/>
      <c r="I382" s="279"/>
      <c r="J382" s="279"/>
      <c r="K382" s="279"/>
    </row>
    <row r="383" spans="1:11" ht="17.25" customHeight="1" x14ac:dyDescent="0.25">
      <c r="A383" s="10"/>
      <c r="B383" s="55" t="s">
        <v>155</v>
      </c>
      <c r="C383" s="1"/>
      <c r="D383" s="1"/>
      <c r="E383" s="281"/>
      <c r="F383" s="281"/>
      <c r="G383" s="282"/>
      <c r="H383" s="57"/>
      <c r="I383" s="14"/>
      <c r="J383" s="14"/>
      <c r="K383" s="14"/>
    </row>
    <row r="384" spans="1:11" ht="17.25" customHeight="1" x14ac:dyDescent="0.25">
      <c r="A384" s="10"/>
      <c r="B384" s="55" t="s">
        <v>214</v>
      </c>
      <c r="C384" s="1"/>
      <c r="D384" s="1"/>
      <c r="E384" s="281">
        <v>10000</v>
      </c>
      <c r="F384" s="281">
        <v>10000</v>
      </c>
      <c r="G384" s="282">
        <f t="shared" si="14"/>
        <v>100</v>
      </c>
      <c r="H384" s="57"/>
      <c r="I384" s="14"/>
      <c r="J384" s="14"/>
      <c r="K384" s="14"/>
    </row>
    <row r="385" spans="1:11" ht="17.25" customHeight="1" x14ac:dyDescent="0.25">
      <c r="A385" s="10"/>
      <c r="B385" s="55" t="s">
        <v>215</v>
      </c>
      <c r="C385" s="1"/>
      <c r="D385" s="1"/>
      <c r="E385" s="281">
        <v>2929</v>
      </c>
      <c r="F385" s="281">
        <v>2929</v>
      </c>
      <c r="G385" s="282">
        <f t="shared" si="14"/>
        <v>100</v>
      </c>
      <c r="H385" s="57"/>
      <c r="I385" s="14"/>
      <c r="J385" s="14"/>
      <c r="K385" s="14"/>
    </row>
    <row r="386" spans="1:11" ht="77.25" customHeight="1" x14ac:dyDescent="0.25">
      <c r="A386" s="10">
        <v>116</v>
      </c>
      <c r="B386" s="55" t="s">
        <v>223</v>
      </c>
      <c r="C386" s="62" t="s">
        <v>149</v>
      </c>
      <c r="D386" s="17" t="s">
        <v>16</v>
      </c>
      <c r="E386" s="281">
        <v>5000</v>
      </c>
      <c r="F386" s="281">
        <v>3403.85</v>
      </c>
      <c r="G386" s="282">
        <f t="shared" si="14"/>
        <v>68.076999999999998</v>
      </c>
      <c r="H386" s="57">
        <v>100</v>
      </c>
      <c r="I386" s="14"/>
      <c r="J386" s="23" t="s">
        <v>545</v>
      </c>
      <c r="K386" s="14"/>
    </row>
    <row r="387" spans="1:11" s="263" customFormat="1" ht="17.25" customHeight="1" x14ac:dyDescent="0.25">
      <c r="A387" s="277"/>
      <c r="B387" s="61" t="s">
        <v>19</v>
      </c>
      <c r="C387" s="288"/>
      <c r="D387" s="22"/>
      <c r="E387" s="283">
        <f>E389+E390+E391</f>
        <v>5000</v>
      </c>
      <c r="F387" s="283">
        <f>F389+F390+F391</f>
        <v>3403.85</v>
      </c>
      <c r="G387" s="284">
        <f t="shared" si="14"/>
        <v>68.076999999999998</v>
      </c>
      <c r="H387" s="285"/>
      <c r="I387" s="279"/>
      <c r="J387" s="279"/>
      <c r="K387" s="279"/>
    </row>
    <row r="388" spans="1:11" ht="17.25" customHeight="1" x14ac:dyDescent="0.25">
      <c r="A388" s="10"/>
      <c r="B388" s="55" t="s">
        <v>155</v>
      </c>
      <c r="C388" s="62"/>
      <c r="D388" s="17"/>
      <c r="E388" s="281"/>
      <c r="F388" s="281"/>
      <c r="G388" s="282"/>
      <c r="H388" s="57"/>
      <c r="I388" s="14"/>
      <c r="J388" s="14"/>
      <c r="K388" s="14"/>
    </row>
    <row r="389" spans="1:11" ht="17.25" customHeight="1" x14ac:dyDescent="0.25">
      <c r="A389" s="10"/>
      <c r="B389" s="55" t="s">
        <v>164</v>
      </c>
      <c r="C389" s="1"/>
      <c r="D389" s="1"/>
      <c r="E389" s="281">
        <v>500</v>
      </c>
      <c r="F389" s="281">
        <v>500</v>
      </c>
      <c r="G389" s="282">
        <f t="shared" si="14"/>
        <v>100</v>
      </c>
      <c r="H389" s="57"/>
      <c r="I389" s="14"/>
      <c r="J389" s="14"/>
      <c r="K389" s="14"/>
    </row>
    <row r="390" spans="1:11" ht="17.25" customHeight="1" x14ac:dyDescent="0.25">
      <c r="A390" s="10"/>
      <c r="B390" s="55" t="s">
        <v>214</v>
      </c>
      <c r="C390" s="1"/>
      <c r="D390" s="1"/>
      <c r="E390" s="281">
        <v>2500</v>
      </c>
      <c r="F390" s="281">
        <v>903.85</v>
      </c>
      <c r="G390" s="282">
        <f t="shared" si="14"/>
        <v>36.154000000000003</v>
      </c>
      <c r="H390" s="57"/>
      <c r="I390" s="14"/>
      <c r="J390" s="14"/>
      <c r="K390" s="14"/>
    </row>
    <row r="391" spans="1:11" ht="17.25" customHeight="1" x14ac:dyDescent="0.25">
      <c r="A391" s="10"/>
      <c r="B391" s="55" t="s">
        <v>215</v>
      </c>
      <c r="C391" s="1"/>
      <c r="D391" s="1"/>
      <c r="E391" s="281">
        <v>2000</v>
      </c>
      <c r="F391" s="281">
        <v>2000</v>
      </c>
      <c r="G391" s="282">
        <f t="shared" si="14"/>
        <v>100</v>
      </c>
      <c r="H391" s="57"/>
      <c r="I391" s="14"/>
      <c r="J391" s="14"/>
      <c r="K391" s="14"/>
    </row>
    <row r="392" spans="1:11" s="302" customFormat="1" ht="102.75" customHeight="1" x14ac:dyDescent="0.25">
      <c r="A392" s="289">
        <v>117</v>
      </c>
      <c r="B392" s="55" t="s">
        <v>550</v>
      </c>
      <c r="C392" s="67" t="s">
        <v>149</v>
      </c>
      <c r="D392" s="304">
        <v>2017</v>
      </c>
      <c r="E392" s="290">
        <v>3000</v>
      </c>
      <c r="F392" s="281">
        <v>1200</v>
      </c>
      <c r="G392" s="291">
        <f t="shared" si="14"/>
        <v>40</v>
      </c>
      <c r="H392" s="57">
        <v>100</v>
      </c>
      <c r="I392" s="301"/>
      <c r="J392" s="229" t="s">
        <v>380</v>
      </c>
      <c r="K392" s="301"/>
    </row>
    <row r="393" spans="1:11" s="263" customFormat="1" ht="17.25" customHeight="1" x14ac:dyDescent="0.25">
      <c r="A393" s="277"/>
      <c r="B393" s="61" t="s">
        <v>19</v>
      </c>
      <c r="C393" s="272"/>
      <c r="D393" s="272"/>
      <c r="E393" s="283">
        <v>3000</v>
      </c>
      <c r="F393" s="283">
        <v>1200</v>
      </c>
      <c r="G393" s="284">
        <f t="shared" si="14"/>
        <v>40</v>
      </c>
      <c r="H393" s="285"/>
      <c r="I393" s="279"/>
      <c r="J393" s="279"/>
      <c r="K393" s="279"/>
    </row>
    <row r="394" spans="1:11" ht="81.75" customHeight="1" x14ac:dyDescent="0.25">
      <c r="A394" s="10">
        <v>118</v>
      </c>
      <c r="B394" s="55" t="s">
        <v>224</v>
      </c>
      <c r="C394" s="62" t="s">
        <v>48</v>
      </c>
      <c r="D394" s="17" t="s">
        <v>16</v>
      </c>
      <c r="E394" s="281">
        <v>1100</v>
      </c>
      <c r="F394" s="281">
        <v>1095.9000000000001</v>
      </c>
      <c r="G394" s="282">
        <f t="shared" si="14"/>
        <v>99.627272727272725</v>
      </c>
      <c r="H394" s="57">
        <v>100</v>
      </c>
      <c r="I394" s="14"/>
      <c r="J394" s="23" t="s">
        <v>525</v>
      </c>
      <c r="K394" s="14"/>
    </row>
    <row r="395" spans="1:11" s="263" customFormat="1" ht="17.25" customHeight="1" x14ac:dyDescent="0.25">
      <c r="A395" s="277"/>
      <c r="B395" s="61" t="s">
        <v>19</v>
      </c>
      <c r="C395" s="288"/>
      <c r="D395" s="22"/>
      <c r="E395" s="305">
        <f>E397+E398</f>
        <v>1100</v>
      </c>
      <c r="F395" s="305">
        <f>F397+F398</f>
        <v>1095.9000000000001</v>
      </c>
      <c r="G395" s="306">
        <f t="shared" si="14"/>
        <v>99.627272727272725</v>
      </c>
      <c r="H395" s="285"/>
      <c r="I395" s="279"/>
      <c r="J395" s="279"/>
      <c r="K395" s="279"/>
    </row>
    <row r="396" spans="1:11" ht="17.25" customHeight="1" x14ac:dyDescent="0.25">
      <c r="A396" s="10"/>
      <c r="B396" s="55" t="s">
        <v>155</v>
      </c>
      <c r="C396" s="62"/>
      <c r="D396" s="17"/>
      <c r="E396" s="80"/>
      <c r="F396" s="80"/>
      <c r="G396" s="307"/>
      <c r="H396" s="57"/>
      <c r="I396" s="14"/>
      <c r="J396" s="14"/>
      <c r="K396" s="14"/>
    </row>
    <row r="397" spans="1:11" ht="33.75" customHeight="1" x14ac:dyDescent="0.25">
      <c r="A397" s="10"/>
      <c r="B397" s="55" t="s">
        <v>225</v>
      </c>
      <c r="C397" s="62"/>
      <c r="D397" s="17"/>
      <c r="E397" s="80">
        <v>900</v>
      </c>
      <c r="F397" s="80">
        <v>1095.9000000000001</v>
      </c>
      <c r="G397" s="307">
        <f t="shared" si="14"/>
        <v>121.76666666666667</v>
      </c>
      <c r="H397" s="57"/>
      <c r="I397" s="14"/>
      <c r="J397" s="14"/>
      <c r="K397" s="14"/>
    </row>
    <row r="398" spans="1:11" ht="24" customHeight="1" x14ac:dyDescent="0.25">
      <c r="A398" s="10"/>
      <c r="B398" s="55" t="s">
        <v>226</v>
      </c>
      <c r="C398" s="62"/>
      <c r="D398" s="17"/>
      <c r="E398" s="80">
        <v>200</v>
      </c>
      <c r="F398" s="80">
        <v>0</v>
      </c>
      <c r="G398" s="307">
        <f t="shared" si="14"/>
        <v>0</v>
      </c>
      <c r="H398" s="57"/>
      <c r="I398" s="14"/>
      <c r="J398" s="14"/>
      <c r="K398" s="14"/>
    </row>
    <row r="399" spans="1:11" ht="53.25" customHeight="1" x14ac:dyDescent="0.25">
      <c r="A399" s="10">
        <v>119</v>
      </c>
      <c r="B399" s="55" t="s">
        <v>216</v>
      </c>
      <c r="C399" s="62" t="s">
        <v>48</v>
      </c>
      <c r="D399" s="17" t="s">
        <v>16</v>
      </c>
      <c r="E399" s="281">
        <v>1200</v>
      </c>
      <c r="F399" s="281">
        <v>430</v>
      </c>
      <c r="G399" s="282">
        <f t="shared" si="14"/>
        <v>35.833333333333336</v>
      </c>
      <c r="H399" s="57">
        <v>100</v>
      </c>
      <c r="I399" s="14"/>
      <c r="J399" s="23" t="s">
        <v>525</v>
      </c>
      <c r="K399" s="14"/>
    </row>
    <row r="400" spans="1:11" s="263" customFormat="1" ht="17.25" customHeight="1" x14ac:dyDescent="0.25">
      <c r="A400" s="277"/>
      <c r="B400" s="61" t="s">
        <v>19</v>
      </c>
      <c r="C400" s="288"/>
      <c r="D400" s="22"/>
      <c r="E400" s="305">
        <f>E402+E403</f>
        <v>1200</v>
      </c>
      <c r="F400" s="305">
        <f>F402+F403</f>
        <v>430</v>
      </c>
      <c r="G400" s="306">
        <f t="shared" ref="G400:G465" si="15">F400/E400*100</f>
        <v>35.833333333333336</v>
      </c>
      <c r="H400" s="285"/>
      <c r="I400" s="279"/>
      <c r="J400" s="279"/>
      <c r="K400" s="279"/>
    </row>
    <row r="401" spans="1:11" ht="17.25" customHeight="1" x14ac:dyDescent="0.25">
      <c r="A401" s="10"/>
      <c r="B401" s="55" t="s">
        <v>155</v>
      </c>
      <c r="C401" s="62"/>
      <c r="D401" s="17"/>
      <c r="E401" s="308"/>
      <c r="F401" s="80"/>
      <c r="G401" s="307"/>
      <c r="H401" s="57"/>
      <c r="I401" s="14"/>
      <c r="J401" s="14"/>
      <c r="K401" s="14"/>
    </row>
    <row r="402" spans="1:11" ht="33.75" customHeight="1" x14ac:dyDescent="0.25">
      <c r="A402" s="10"/>
      <c r="B402" s="55" t="s">
        <v>225</v>
      </c>
      <c r="C402" s="62"/>
      <c r="D402" s="17"/>
      <c r="E402" s="80">
        <v>500</v>
      </c>
      <c r="F402" s="80">
        <v>430</v>
      </c>
      <c r="G402" s="307">
        <f t="shared" si="15"/>
        <v>86</v>
      </c>
      <c r="H402" s="57"/>
      <c r="I402" s="14"/>
      <c r="J402" s="14"/>
      <c r="K402" s="14"/>
    </row>
    <row r="403" spans="1:11" ht="17.25" customHeight="1" x14ac:dyDescent="0.25">
      <c r="A403" s="10"/>
      <c r="B403" s="55" t="s">
        <v>226</v>
      </c>
      <c r="C403" s="62"/>
      <c r="D403" s="17"/>
      <c r="E403" s="80">
        <v>700</v>
      </c>
      <c r="F403" s="80">
        <v>0</v>
      </c>
      <c r="G403" s="307">
        <f t="shared" si="15"/>
        <v>0</v>
      </c>
      <c r="H403" s="57"/>
      <c r="I403" s="14"/>
      <c r="J403" s="14"/>
      <c r="K403" s="14"/>
    </row>
    <row r="404" spans="1:11" ht="133.5" customHeight="1" x14ac:dyDescent="0.25">
      <c r="A404" s="10">
        <v>120</v>
      </c>
      <c r="B404" s="55" t="s">
        <v>217</v>
      </c>
      <c r="C404" s="62" t="s">
        <v>48</v>
      </c>
      <c r="D404" s="17" t="s">
        <v>16</v>
      </c>
      <c r="E404" s="281">
        <v>400</v>
      </c>
      <c r="F404" s="281">
        <v>205.9</v>
      </c>
      <c r="G404" s="282">
        <f t="shared" si="15"/>
        <v>51.475000000000001</v>
      </c>
      <c r="H404" s="57">
        <v>100</v>
      </c>
      <c r="I404" s="14"/>
      <c r="J404" s="23" t="s">
        <v>525</v>
      </c>
      <c r="K404" s="14"/>
    </row>
    <row r="405" spans="1:11" s="263" customFormat="1" ht="17.25" customHeight="1" x14ac:dyDescent="0.25">
      <c r="A405" s="277"/>
      <c r="B405" s="61" t="s">
        <v>19</v>
      </c>
      <c r="C405" s="288"/>
      <c r="D405" s="22"/>
      <c r="E405" s="305">
        <f>E407+E408</f>
        <v>400</v>
      </c>
      <c r="F405" s="305">
        <f>F407+F408</f>
        <v>205.9</v>
      </c>
      <c r="G405" s="306">
        <f t="shared" si="15"/>
        <v>51.475000000000001</v>
      </c>
      <c r="H405" s="285"/>
      <c r="I405" s="279"/>
      <c r="J405" s="279"/>
      <c r="K405" s="279"/>
    </row>
    <row r="406" spans="1:11" ht="17.25" customHeight="1" x14ac:dyDescent="0.25">
      <c r="A406" s="10"/>
      <c r="B406" s="55" t="s">
        <v>155</v>
      </c>
      <c r="C406" s="62"/>
      <c r="D406" s="17"/>
      <c r="E406" s="80"/>
      <c r="F406" s="80"/>
      <c r="G406" s="307"/>
      <c r="H406" s="57"/>
      <c r="I406" s="14"/>
      <c r="J406" s="14"/>
      <c r="K406" s="14"/>
    </row>
    <row r="407" spans="1:11" ht="36.75" customHeight="1" x14ac:dyDescent="0.25">
      <c r="A407" s="10"/>
      <c r="B407" s="55" t="s">
        <v>225</v>
      </c>
      <c r="C407" s="62"/>
      <c r="D407" s="17"/>
      <c r="E407" s="80">
        <v>200</v>
      </c>
      <c r="F407" s="80">
        <v>205.9</v>
      </c>
      <c r="G407" s="307">
        <f t="shared" si="15"/>
        <v>102.95</v>
      </c>
      <c r="H407" s="57"/>
      <c r="I407" s="14"/>
      <c r="J407" s="14"/>
      <c r="K407" s="14"/>
    </row>
    <row r="408" spans="1:11" ht="17.25" customHeight="1" x14ac:dyDescent="0.25">
      <c r="A408" s="10"/>
      <c r="B408" s="55" t="s">
        <v>226</v>
      </c>
      <c r="C408" s="62"/>
      <c r="D408" s="17"/>
      <c r="E408" s="80">
        <v>200</v>
      </c>
      <c r="F408" s="80">
        <v>0</v>
      </c>
      <c r="G408" s="307">
        <f t="shared" si="15"/>
        <v>0</v>
      </c>
      <c r="H408" s="57"/>
      <c r="I408" s="14"/>
      <c r="J408" s="14"/>
      <c r="K408" s="14"/>
    </row>
    <row r="409" spans="1:11" ht="97.5" customHeight="1" x14ac:dyDescent="0.25">
      <c r="A409" s="10">
        <v>121</v>
      </c>
      <c r="B409" s="55" t="s">
        <v>551</v>
      </c>
      <c r="C409" s="62" t="s">
        <v>48</v>
      </c>
      <c r="D409" s="17">
        <v>2017</v>
      </c>
      <c r="E409" s="281">
        <v>22500</v>
      </c>
      <c r="F409" s="281">
        <v>1600</v>
      </c>
      <c r="G409" s="282">
        <f t="shared" si="15"/>
        <v>7.1111111111111107</v>
      </c>
      <c r="H409" s="57">
        <v>100</v>
      </c>
      <c r="I409" s="14"/>
      <c r="J409" s="37" t="s">
        <v>380</v>
      </c>
      <c r="K409" s="14"/>
    </row>
    <row r="410" spans="1:11" s="263" customFormat="1" ht="17.25" customHeight="1" x14ac:dyDescent="0.25">
      <c r="A410" s="277"/>
      <c r="B410" s="61" t="s">
        <v>19</v>
      </c>
      <c r="C410" s="288"/>
      <c r="D410" s="22"/>
      <c r="E410" s="283">
        <v>22500</v>
      </c>
      <c r="F410" s="305">
        <v>1600</v>
      </c>
      <c r="G410" s="306">
        <f t="shared" si="15"/>
        <v>7.1111111111111107</v>
      </c>
      <c r="H410" s="285"/>
      <c r="I410" s="279"/>
      <c r="J410" s="279"/>
      <c r="K410" s="279"/>
    </row>
    <row r="411" spans="1:11" s="302" customFormat="1" ht="96.75" customHeight="1" x14ac:dyDescent="0.25">
      <c r="A411" s="289">
        <v>122</v>
      </c>
      <c r="B411" s="55" t="s">
        <v>219</v>
      </c>
      <c r="C411" s="67" t="s">
        <v>48</v>
      </c>
      <c r="D411" s="68" t="s">
        <v>16</v>
      </c>
      <c r="E411" s="290">
        <v>800</v>
      </c>
      <c r="F411" s="290">
        <v>300</v>
      </c>
      <c r="G411" s="291">
        <f t="shared" si="15"/>
        <v>37.5</v>
      </c>
      <c r="H411" s="57">
        <v>100</v>
      </c>
      <c r="I411" s="301"/>
      <c r="J411" s="293" t="s">
        <v>525</v>
      </c>
      <c r="K411" s="301"/>
    </row>
    <row r="412" spans="1:11" s="294" customFormat="1" ht="17.25" customHeight="1" x14ac:dyDescent="0.25">
      <c r="A412" s="309"/>
      <c r="B412" s="61" t="s">
        <v>19</v>
      </c>
      <c r="C412" s="310"/>
      <c r="D412" s="311"/>
      <c r="E412" s="312">
        <f>E414+E415</f>
        <v>800</v>
      </c>
      <c r="F412" s="312">
        <f>F414+F415</f>
        <v>0</v>
      </c>
      <c r="G412" s="313">
        <f t="shared" si="15"/>
        <v>0</v>
      </c>
      <c r="H412" s="314"/>
      <c r="I412" s="292"/>
      <c r="J412" s="292"/>
      <c r="K412" s="292"/>
    </row>
    <row r="413" spans="1:11" s="302" customFormat="1" ht="17.25" customHeight="1" x14ac:dyDescent="0.25">
      <c r="A413" s="289"/>
      <c r="B413" s="55" t="s">
        <v>155</v>
      </c>
      <c r="C413" s="67"/>
      <c r="D413" s="68"/>
      <c r="E413" s="315"/>
      <c r="F413" s="315"/>
      <c r="G413" s="316"/>
      <c r="H413" s="70"/>
      <c r="I413" s="301"/>
      <c r="J413" s="301"/>
      <c r="K413" s="301"/>
    </row>
    <row r="414" spans="1:11" s="302" customFormat="1" ht="35.25" customHeight="1" x14ac:dyDescent="0.25">
      <c r="A414" s="289"/>
      <c r="B414" s="55" t="s">
        <v>225</v>
      </c>
      <c r="C414" s="67"/>
      <c r="D414" s="68"/>
      <c r="E414" s="315">
        <v>600</v>
      </c>
      <c r="F414" s="315">
        <v>0</v>
      </c>
      <c r="G414" s="316">
        <f t="shared" si="15"/>
        <v>0</v>
      </c>
      <c r="H414" s="70"/>
      <c r="I414" s="301"/>
      <c r="J414" s="301"/>
      <c r="K414" s="301"/>
    </row>
    <row r="415" spans="1:11" s="302" customFormat="1" ht="17.25" customHeight="1" x14ac:dyDescent="0.25">
      <c r="A415" s="289"/>
      <c r="B415" s="55" t="s">
        <v>226</v>
      </c>
      <c r="C415" s="67"/>
      <c r="D415" s="68"/>
      <c r="E415" s="315">
        <v>200</v>
      </c>
      <c r="F415" s="315">
        <v>0</v>
      </c>
      <c r="G415" s="316">
        <f t="shared" si="15"/>
        <v>0</v>
      </c>
      <c r="H415" s="70"/>
      <c r="I415" s="301"/>
      <c r="J415" s="301"/>
      <c r="K415" s="301"/>
    </row>
    <row r="416" spans="1:11" s="302" customFormat="1" ht="17.25" customHeight="1" x14ac:dyDescent="0.25">
      <c r="A416" s="289"/>
      <c r="B416" s="61" t="s">
        <v>22</v>
      </c>
      <c r="C416" s="67"/>
      <c r="D416" s="68"/>
      <c r="E416" s="315"/>
      <c r="F416" s="312">
        <v>300</v>
      </c>
      <c r="G416" s="316"/>
      <c r="H416" s="70"/>
      <c r="I416" s="301"/>
      <c r="J416" s="301"/>
      <c r="K416" s="301"/>
    </row>
    <row r="417" spans="1:11" s="302" customFormat="1" ht="36.75" customHeight="1" x14ac:dyDescent="0.25">
      <c r="A417" s="289"/>
      <c r="B417" s="55" t="s">
        <v>225</v>
      </c>
      <c r="C417" s="67"/>
      <c r="D417" s="68"/>
      <c r="E417" s="315"/>
      <c r="F417" s="315">
        <v>300</v>
      </c>
      <c r="G417" s="316"/>
      <c r="H417" s="70"/>
      <c r="I417" s="301"/>
      <c r="J417" s="301"/>
      <c r="K417" s="301"/>
    </row>
    <row r="418" spans="1:11" ht="79.5" customHeight="1" x14ac:dyDescent="0.25">
      <c r="A418" s="10">
        <v>123</v>
      </c>
      <c r="B418" s="55" t="s">
        <v>227</v>
      </c>
      <c r="C418" s="62" t="s">
        <v>48</v>
      </c>
      <c r="D418" s="17" t="s">
        <v>16</v>
      </c>
      <c r="E418" s="281">
        <v>400</v>
      </c>
      <c r="F418" s="281">
        <v>39.799999999999997</v>
      </c>
      <c r="G418" s="282">
        <f t="shared" si="15"/>
        <v>9.9499999999999993</v>
      </c>
      <c r="H418" s="57">
        <v>100</v>
      </c>
      <c r="I418" s="14"/>
      <c r="J418" s="23" t="s">
        <v>525</v>
      </c>
      <c r="K418" s="14"/>
    </row>
    <row r="419" spans="1:11" s="263" customFormat="1" ht="24.75" customHeight="1" x14ac:dyDescent="0.25">
      <c r="A419" s="277"/>
      <c r="B419" s="61" t="s">
        <v>19</v>
      </c>
      <c r="C419" s="288"/>
      <c r="D419" s="22"/>
      <c r="E419" s="305">
        <v>400</v>
      </c>
      <c r="F419" s="305">
        <v>39.799999999999997</v>
      </c>
      <c r="G419" s="306">
        <f t="shared" si="15"/>
        <v>9.9499999999999993</v>
      </c>
      <c r="H419" s="285"/>
      <c r="I419" s="279"/>
      <c r="J419" s="279"/>
      <c r="K419" s="279"/>
    </row>
    <row r="420" spans="1:11" ht="90" customHeight="1" x14ac:dyDescent="0.25">
      <c r="A420" s="10">
        <v>124</v>
      </c>
      <c r="B420" s="55" t="s">
        <v>228</v>
      </c>
      <c r="C420" s="62" t="s">
        <v>48</v>
      </c>
      <c r="D420" s="17" t="s">
        <v>16</v>
      </c>
      <c r="E420" s="281">
        <v>400</v>
      </c>
      <c r="F420" s="281">
        <v>70</v>
      </c>
      <c r="G420" s="282">
        <f t="shared" si="15"/>
        <v>17.5</v>
      </c>
      <c r="H420" s="57">
        <v>100</v>
      </c>
      <c r="I420" s="14"/>
      <c r="J420" s="23" t="s">
        <v>525</v>
      </c>
      <c r="K420" s="14"/>
    </row>
    <row r="421" spans="1:11" s="263" customFormat="1" ht="17.25" customHeight="1" x14ac:dyDescent="0.25">
      <c r="A421" s="277"/>
      <c r="B421" s="61" t="s">
        <v>19</v>
      </c>
      <c r="C421" s="288"/>
      <c r="D421" s="22"/>
      <c r="E421" s="305">
        <v>400</v>
      </c>
      <c r="F421" s="305">
        <v>70</v>
      </c>
      <c r="G421" s="306">
        <f t="shared" si="15"/>
        <v>17.5</v>
      </c>
      <c r="H421" s="285"/>
      <c r="I421" s="279"/>
      <c r="J421" s="279"/>
      <c r="K421" s="279"/>
    </row>
    <row r="422" spans="1:11" s="302" customFormat="1" ht="65.25" customHeight="1" x14ac:dyDescent="0.25">
      <c r="A422" s="289">
        <v>125</v>
      </c>
      <c r="B422" s="55" t="s">
        <v>229</v>
      </c>
      <c r="C422" s="67" t="s">
        <v>48</v>
      </c>
      <c r="D422" s="68" t="s">
        <v>16</v>
      </c>
      <c r="E422" s="290">
        <v>2100</v>
      </c>
      <c r="F422" s="290">
        <v>2100</v>
      </c>
      <c r="G422" s="291">
        <f t="shared" si="15"/>
        <v>100</v>
      </c>
      <c r="H422" s="57">
        <v>100</v>
      </c>
      <c r="I422" s="301"/>
      <c r="J422" s="293" t="s">
        <v>525</v>
      </c>
      <c r="K422" s="301"/>
    </row>
    <row r="423" spans="1:11" s="294" customFormat="1" ht="17.25" customHeight="1" x14ac:dyDescent="0.25">
      <c r="A423" s="309"/>
      <c r="B423" s="61" t="s">
        <v>19</v>
      </c>
      <c r="C423" s="310"/>
      <c r="D423" s="311"/>
      <c r="E423" s="312">
        <v>2100</v>
      </c>
      <c r="F423" s="312">
        <v>0</v>
      </c>
      <c r="G423" s="313">
        <f t="shared" si="15"/>
        <v>0</v>
      </c>
      <c r="H423" s="314"/>
      <c r="I423" s="292"/>
      <c r="J423" s="292"/>
      <c r="K423" s="292"/>
    </row>
    <row r="424" spans="1:11" s="294" customFormat="1" ht="17.25" customHeight="1" x14ac:dyDescent="0.25">
      <c r="A424" s="309"/>
      <c r="B424" s="61" t="s">
        <v>22</v>
      </c>
      <c r="C424" s="310"/>
      <c r="D424" s="311"/>
      <c r="E424" s="312"/>
      <c r="F424" s="312">
        <v>2100</v>
      </c>
      <c r="G424" s="313"/>
      <c r="H424" s="314"/>
      <c r="I424" s="292"/>
      <c r="J424" s="292"/>
      <c r="K424" s="292"/>
    </row>
    <row r="425" spans="1:11" ht="51.75" customHeight="1" x14ac:dyDescent="0.25">
      <c r="A425" s="10">
        <v>126</v>
      </c>
      <c r="B425" s="55" t="s">
        <v>230</v>
      </c>
      <c r="C425" s="62" t="s">
        <v>48</v>
      </c>
      <c r="D425" s="17" t="s">
        <v>16</v>
      </c>
      <c r="E425" s="281">
        <v>1600</v>
      </c>
      <c r="F425" s="281">
        <v>1213</v>
      </c>
      <c r="G425" s="282">
        <f t="shared" si="15"/>
        <v>75.8125</v>
      </c>
      <c r="H425" s="57">
        <v>100</v>
      </c>
      <c r="I425" s="14"/>
      <c r="J425" s="23" t="s">
        <v>525</v>
      </c>
      <c r="K425" s="14"/>
    </row>
    <row r="426" spans="1:11" s="263" customFormat="1" ht="17.25" customHeight="1" x14ac:dyDescent="0.25">
      <c r="A426" s="277"/>
      <c r="B426" s="61" t="s">
        <v>19</v>
      </c>
      <c r="C426" s="288"/>
      <c r="D426" s="22"/>
      <c r="E426" s="305">
        <f>E428+E429</f>
        <v>1600</v>
      </c>
      <c r="F426" s="305">
        <f>F428+F429</f>
        <v>1213</v>
      </c>
      <c r="G426" s="306">
        <f t="shared" si="15"/>
        <v>75.8125</v>
      </c>
      <c r="H426" s="285"/>
      <c r="I426" s="279"/>
      <c r="J426" s="279"/>
      <c r="K426" s="279"/>
    </row>
    <row r="427" spans="1:11" ht="17.25" customHeight="1" x14ac:dyDescent="0.25">
      <c r="A427" s="10"/>
      <c r="B427" s="55" t="s">
        <v>155</v>
      </c>
      <c r="C427" s="62"/>
      <c r="D427" s="17"/>
      <c r="E427" s="80"/>
      <c r="F427" s="80"/>
      <c r="G427" s="307"/>
      <c r="H427" s="57"/>
      <c r="I427" s="14"/>
      <c r="J427" s="14"/>
      <c r="K427" s="14"/>
    </row>
    <row r="428" spans="1:11" ht="34.5" customHeight="1" x14ac:dyDescent="0.25">
      <c r="A428" s="10"/>
      <c r="B428" s="55" t="s">
        <v>225</v>
      </c>
      <c r="C428" s="62"/>
      <c r="D428" s="17"/>
      <c r="E428" s="80">
        <v>700</v>
      </c>
      <c r="F428" s="80"/>
      <c r="G428" s="307">
        <f t="shared" si="15"/>
        <v>0</v>
      </c>
      <c r="H428" s="57"/>
      <c r="I428" s="14"/>
      <c r="J428" s="14"/>
      <c r="K428" s="14"/>
    </row>
    <row r="429" spans="1:11" ht="21.75" customHeight="1" x14ac:dyDescent="0.25">
      <c r="A429" s="10"/>
      <c r="B429" s="55" t="s">
        <v>226</v>
      </c>
      <c r="C429" s="62"/>
      <c r="D429" s="17"/>
      <c r="E429" s="80">
        <v>900</v>
      </c>
      <c r="F429" s="80">
        <v>1213</v>
      </c>
      <c r="G429" s="307">
        <f t="shared" si="15"/>
        <v>134.77777777777777</v>
      </c>
      <c r="H429" s="57"/>
      <c r="I429" s="14"/>
      <c r="J429" s="14"/>
      <c r="K429" s="14"/>
    </row>
    <row r="430" spans="1:11" ht="69.75" customHeight="1" x14ac:dyDescent="0.25">
      <c r="A430" s="10">
        <v>127</v>
      </c>
      <c r="B430" s="55" t="s">
        <v>231</v>
      </c>
      <c r="C430" s="62" t="s">
        <v>48</v>
      </c>
      <c r="D430" s="17" t="s">
        <v>16</v>
      </c>
      <c r="E430" s="281">
        <v>400</v>
      </c>
      <c r="F430" s="281">
        <v>1598.6</v>
      </c>
      <c r="G430" s="282">
        <f t="shared" si="15"/>
        <v>399.65</v>
      </c>
      <c r="H430" s="57">
        <v>100</v>
      </c>
      <c r="I430" s="14"/>
      <c r="J430" s="23" t="s">
        <v>525</v>
      </c>
      <c r="K430" s="14"/>
    </row>
    <row r="431" spans="1:11" s="263" customFormat="1" ht="17.25" customHeight="1" x14ac:dyDescent="0.25">
      <c r="A431" s="277"/>
      <c r="B431" s="61" t="s">
        <v>19</v>
      </c>
      <c r="C431" s="288"/>
      <c r="D431" s="22"/>
      <c r="E431" s="305">
        <v>400</v>
      </c>
      <c r="F431" s="317">
        <v>1598.6</v>
      </c>
      <c r="G431" s="306">
        <f t="shared" si="15"/>
        <v>399.65</v>
      </c>
      <c r="H431" s="285"/>
      <c r="I431" s="279"/>
      <c r="J431" s="279"/>
      <c r="K431" s="279"/>
    </row>
    <row r="432" spans="1:11" ht="17.25" customHeight="1" x14ac:dyDescent="0.25">
      <c r="A432" s="10"/>
      <c r="B432" s="55" t="s">
        <v>155</v>
      </c>
      <c r="C432" s="62"/>
      <c r="D432" s="17"/>
      <c r="E432" s="74"/>
      <c r="F432" s="74"/>
      <c r="G432" s="74"/>
      <c r="H432" s="57"/>
      <c r="I432" s="14"/>
      <c r="J432" s="14"/>
      <c r="K432" s="14"/>
    </row>
    <row r="433" spans="1:11" ht="17.25" customHeight="1" x14ac:dyDescent="0.25">
      <c r="A433" s="10"/>
      <c r="B433" s="55" t="s">
        <v>226</v>
      </c>
      <c r="C433" s="62"/>
      <c r="D433" s="17"/>
      <c r="E433" s="74">
        <v>400</v>
      </c>
      <c r="F433" s="74">
        <v>1598.6</v>
      </c>
      <c r="G433" s="307">
        <f t="shared" si="15"/>
        <v>399.65</v>
      </c>
      <c r="H433" s="57"/>
      <c r="I433" s="14"/>
      <c r="J433" s="14"/>
      <c r="K433" s="14"/>
    </row>
    <row r="434" spans="1:11" ht="34.5" customHeight="1" x14ac:dyDescent="0.25">
      <c r="A434" s="10">
        <v>128</v>
      </c>
      <c r="B434" s="55" t="s">
        <v>552</v>
      </c>
      <c r="C434" s="62" t="s">
        <v>206</v>
      </c>
      <c r="D434" s="17">
        <v>2017.2019</v>
      </c>
      <c r="E434" s="281">
        <v>2000</v>
      </c>
      <c r="F434" s="281">
        <v>2000</v>
      </c>
      <c r="G434" s="282">
        <f t="shared" si="15"/>
        <v>100</v>
      </c>
      <c r="H434" s="57">
        <v>100</v>
      </c>
      <c r="I434" s="14"/>
      <c r="J434" s="23" t="s">
        <v>449</v>
      </c>
      <c r="K434" s="14"/>
    </row>
    <row r="435" spans="1:11" s="263" customFormat="1" ht="22.5" customHeight="1" x14ac:dyDescent="0.25">
      <c r="A435" s="277"/>
      <c r="B435" s="61" t="s">
        <v>22</v>
      </c>
      <c r="C435" s="288"/>
      <c r="D435" s="22"/>
      <c r="E435" s="305">
        <v>2000</v>
      </c>
      <c r="F435" s="305">
        <v>2000</v>
      </c>
      <c r="G435" s="306">
        <f t="shared" si="15"/>
        <v>100</v>
      </c>
      <c r="H435" s="285"/>
      <c r="I435" s="279"/>
      <c r="J435" s="279"/>
      <c r="K435" s="279"/>
    </row>
    <row r="436" spans="1:11" ht="129" customHeight="1" x14ac:dyDescent="0.25">
      <c r="A436" s="10">
        <v>129</v>
      </c>
      <c r="B436" s="55" t="s">
        <v>237</v>
      </c>
      <c r="C436" s="62" t="s">
        <v>232</v>
      </c>
      <c r="D436" s="17" t="s">
        <v>16</v>
      </c>
      <c r="E436" s="281">
        <v>3892</v>
      </c>
      <c r="F436" s="281">
        <v>3892</v>
      </c>
      <c r="G436" s="282">
        <f t="shared" si="15"/>
        <v>100</v>
      </c>
      <c r="H436" s="57">
        <v>100</v>
      </c>
      <c r="I436" s="14"/>
      <c r="J436" s="23" t="s">
        <v>525</v>
      </c>
      <c r="K436" s="14"/>
    </row>
    <row r="437" spans="1:11" s="263" customFormat="1" ht="17.25" customHeight="1" x14ac:dyDescent="0.25">
      <c r="A437" s="277"/>
      <c r="B437" s="76" t="s">
        <v>13</v>
      </c>
      <c r="C437" s="288"/>
      <c r="D437" s="22"/>
      <c r="E437" s="305">
        <v>3892</v>
      </c>
      <c r="F437" s="305">
        <v>3892</v>
      </c>
      <c r="G437" s="306">
        <f t="shared" si="15"/>
        <v>100</v>
      </c>
      <c r="H437" s="285"/>
      <c r="I437" s="279"/>
      <c r="J437" s="279"/>
      <c r="K437" s="279"/>
    </row>
    <row r="438" spans="1:11" ht="81.75" customHeight="1" x14ac:dyDescent="0.25">
      <c r="A438" s="10">
        <v>130</v>
      </c>
      <c r="B438" s="55" t="s">
        <v>233</v>
      </c>
      <c r="C438" s="62" t="s">
        <v>232</v>
      </c>
      <c r="D438" s="17" t="s">
        <v>16</v>
      </c>
      <c r="E438" s="281">
        <v>500</v>
      </c>
      <c r="F438" s="281">
        <v>500</v>
      </c>
      <c r="G438" s="282">
        <f t="shared" si="15"/>
        <v>100</v>
      </c>
      <c r="H438" s="57">
        <v>100</v>
      </c>
      <c r="I438" s="14"/>
      <c r="J438" s="23" t="s">
        <v>525</v>
      </c>
      <c r="K438" s="14"/>
    </row>
    <row r="439" spans="1:11" s="263" customFormat="1" ht="17.25" customHeight="1" x14ac:dyDescent="0.25">
      <c r="A439" s="277"/>
      <c r="B439" s="61" t="s">
        <v>19</v>
      </c>
      <c r="C439" s="288"/>
      <c r="D439" s="22"/>
      <c r="E439" s="305">
        <v>500</v>
      </c>
      <c r="F439" s="305">
        <v>500</v>
      </c>
      <c r="G439" s="306">
        <f t="shared" si="15"/>
        <v>100</v>
      </c>
      <c r="H439" s="285"/>
      <c r="I439" s="279"/>
      <c r="J439" s="279"/>
      <c r="K439" s="279"/>
    </row>
    <row r="440" spans="1:11" ht="148.5" customHeight="1" x14ac:dyDescent="0.25">
      <c r="A440" s="10">
        <v>131</v>
      </c>
      <c r="B440" s="55" t="s">
        <v>238</v>
      </c>
      <c r="C440" s="62" t="s">
        <v>232</v>
      </c>
      <c r="D440" s="17" t="s">
        <v>16</v>
      </c>
      <c r="E440" s="281">
        <v>200</v>
      </c>
      <c r="F440" s="281">
        <v>200</v>
      </c>
      <c r="G440" s="282">
        <f t="shared" si="15"/>
        <v>100</v>
      </c>
      <c r="H440" s="57">
        <v>100</v>
      </c>
      <c r="I440" s="14"/>
      <c r="J440" s="23" t="s">
        <v>525</v>
      </c>
      <c r="K440" s="14"/>
    </row>
    <row r="441" spans="1:11" s="263" customFormat="1" ht="17.25" customHeight="1" x14ac:dyDescent="0.25">
      <c r="A441" s="277"/>
      <c r="B441" s="61" t="s">
        <v>19</v>
      </c>
      <c r="C441" s="288"/>
      <c r="D441" s="22"/>
      <c r="E441" s="305">
        <v>200</v>
      </c>
      <c r="F441" s="305">
        <v>200</v>
      </c>
      <c r="G441" s="306">
        <f t="shared" si="15"/>
        <v>100</v>
      </c>
      <c r="H441" s="285"/>
      <c r="I441" s="279"/>
      <c r="J441" s="279"/>
      <c r="K441" s="279"/>
    </row>
    <row r="442" spans="1:11" ht="117.75" customHeight="1" x14ac:dyDescent="0.25">
      <c r="A442" s="10">
        <v>132</v>
      </c>
      <c r="B442" s="55" t="s">
        <v>234</v>
      </c>
      <c r="C442" s="62" t="s">
        <v>232</v>
      </c>
      <c r="D442" s="17" t="s">
        <v>16</v>
      </c>
      <c r="E442" s="281">
        <v>200</v>
      </c>
      <c r="F442" s="281">
        <v>200</v>
      </c>
      <c r="G442" s="282">
        <f t="shared" si="15"/>
        <v>100</v>
      </c>
      <c r="H442" s="57">
        <v>100</v>
      </c>
      <c r="I442" s="14"/>
      <c r="J442" s="23" t="s">
        <v>525</v>
      </c>
      <c r="K442" s="14"/>
    </row>
    <row r="443" spans="1:11" s="263" customFormat="1" ht="17.25" customHeight="1" x14ac:dyDescent="0.25">
      <c r="A443" s="277"/>
      <c r="B443" s="61" t="s">
        <v>19</v>
      </c>
      <c r="C443" s="288"/>
      <c r="D443" s="22"/>
      <c r="E443" s="305">
        <v>200</v>
      </c>
      <c r="F443" s="305">
        <v>200</v>
      </c>
      <c r="G443" s="306">
        <f t="shared" si="15"/>
        <v>100</v>
      </c>
      <c r="H443" s="285"/>
      <c r="I443" s="279"/>
      <c r="J443" s="279"/>
      <c r="K443" s="279"/>
    </row>
    <row r="444" spans="1:11" ht="84" customHeight="1" x14ac:dyDescent="0.25">
      <c r="A444" s="10">
        <v>133</v>
      </c>
      <c r="B444" s="55" t="s">
        <v>235</v>
      </c>
      <c r="C444" s="62" t="s">
        <v>232</v>
      </c>
      <c r="D444" s="17" t="s">
        <v>16</v>
      </c>
      <c r="E444" s="281">
        <v>1800</v>
      </c>
      <c r="F444" s="281">
        <v>1800</v>
      </c>
      <c r="G444" s="282">
        <f t="shared" si="15"/>
        <v>100</v>
      </c>
      <c r="H444" s="57">
        <v>100</v>
      </c>
      <c r="I444" s="14"/>
      <c r="J444" s="23" t="s">
        <v>525</v>
      </c>
      <c r="K444" s="14"/>
    </row>
    <row r="445" spans="1:11" s="263" customFormat="1" ht="17.25" customHeight="1" x14ac:dyDescent="0.25">
      <c r="A445" s="277"/>
      <c r="B445" s="61" t="s">
        <v>13</v>
      </c>
      <c r="C445" s="288"/>
      <c r="D445" s="22"/>
      <c r="E445" s="305">
        <v>1800</v>
      </c>
      <c r="F445" s="305">
        <v>1800</v>
      </c>
      <c r="G445" s="306">
        <f t="shared" si="15"/>
        <v>100</v>
      </c>
      <c r="H445" s="285"/>
      <c r="I445" s="279"/>
      <c r="J445" s="279"/>
      <c r="K445" s="279"/>
    </row>
    <row r="446" spans="1:11" ht="85.5" customHeight="1" x14ac:dyDescent="0.25">
      <c r="A446" s="10">
        <v>134</v>
      </c>
      <c r="B446" s="55" t="s">
        <v>236</v>
      </c>
      <c r="C446" s="62" t="s">
        <v>232</v>
      </c>
      <c r="D446" s="17" t="s">
        <v>16</v>
      </c>
      <c r="E446" s="281">
        <v>2200</v>
      </c>
      <c r="F446" s="281">
        <v>2199.17</v>
      </c>
      <c r="G446" s="282">
        <f t="shared" si="15"/>
        <v>99.962272727272733</v>
      </c>
      <c r="H446" s="57">
        <v>100</v>
      </c>
      <c r="I446" s="14"/>
      <c r="J446" s="23" t="s">
        <v>525</v>
      </c>
      <c r="K446" s="14"/>
    </row>
    <row r="447" spans="1:11" s="263" customFormat="1" ht="17.25" customHeight="1" x14ac:dyDescent="0.25">
      <c r="A447" s="277"/>
      <c r="B447" s="61" t="s">
        <v>13</v>
      </c>
      <c r="C447" s="288"/>
      <c r="D447" s="22"/>
      <c r="E447" s="305">
        <v>2200</v>
      </c>
      <c r="F447" s="305">
        <v>2199.17</v>
      </c>
      <c r="G447" s="306">
        <f t="shared" si="15"/>
        <v>99.962272727272733</v>
      </c>
      <c r="H447" s="285"/>
      <c r="I447" s="279"/>
      <c r="J447" s="279"/>
      <c r="K447" s="279"/>
    </row>
    <row r="448" spans="1:11" ht="96.75" customHeight="1" x14ac:dyDescent="0.25">
      <c r="A448" s="10">
        <v>135</v>
      </c>
      <c r="B448" s="55" t="s">
        <v>239</v>
      </c>
      <c r="C448" s="62" t="s">
        <v>50</v>
      </c>
      <c r="D448" s="17" t="s">
        <v>45</v>
      </c>
      <c r="E448" s="281">
        <v>3784</v>
      </c>
      <c r="F448" s="281">
        <v>3784</v>
      </c>
      <c r="G448" s="56">
        <f t="shared" si="15"/>
        <v>100</v>
      </c>
      <c r="H448" s="57">
        <v>100</v>
      </c>
      <c r="I448" s="14"/>
      <c r="J448" s="37" t="s">
        <v>380</v>
      </c>
      <c r="K448" s="14"/>
    </row>
    <row r="449" spans="1:11" s="263" customFormat="1" ht="17.25" customHeight="1" x14ac:dyDescent="0.25">
      <c r="A449" s="277"/>
      <c r="B449" s="61" t="s">
        <v>13</v>
      </c>
      <c r="C449" s="288"/>
      <c r="D449" s="22"/>
      <c r="E449" s="305">
        <v>3784</v>
      </c>
      <c r="F449" s="305">
        <v>3784</v>
      </c>
      <c r="G449" s="317">
        <f t="shared" si="15"/>
        <v>100</v>
      </c>
      <c r="H449" s="285"/>
      <c r="I449" s="279"/>
      <c r="J449" s="279"/>
      <c r="K449" s="279"/>
    </row>
    <row r="450" spans="1:11" ht="113.25" customHeight="1" x14ac:dyDescent="0.25">
      <c r="A450" s="10">
        <v>136</v>
      </c>
      <c r="B450" s="55" t="s">
        <v>240</v>
      </c>
      <c r="C450" s="62" t="s">
        <v>197</v>
      </c>
      <c r="D450" s="17" t="s">
        <v>16</v>
      </c>
      <c r="E450" s="281">
        <v>300</v>
      </c>
      <c r="F450" s="281">
        <v>300</v>
      </c>
      <c r="G450" s="282">
        <f t="shared" si="15"/>
        <v>100</v>
      </c>
      <c r="H450" s="57">
        <v>100</v>
      </c>
      <c r="I450" s="14"/>
      <c r="J450" s="23" t="s">
        <v>525</v>
      </c>
      <c r="K450" s="14"/>
    </row>
    <row r="451" spans="1:11" s="263" customFormat="1" ht="17.25" customHeight="1" x14ac:dyDescent="0.25">
      <c r="A451" s="277"/>
      <c r="B451" s="61" t="s">
        <v>19</v>
      </c>
      <c r="C451" s="288"/>
      <c r="D451" s="22"/>
      <c r="E451" s="305">
        <v>300</v>
      </c>
      <c r="F451" s="305">
        <v>300</v>
      </c>
      <c r="G451" s="306">
        <f t="shared" si="15"/>
        <v>100</v>
      </c>
      <c r="H451" s="285"/>
      <c r="I451" s="279"/>
      <c r="J451" s="279"/>
      <c r="K451" s="279"/>
    </row>
    <row r="452" spans="1:11" ht="127.5" customHeight="1" x14ac:dyDescent="0.25">
      <c r="A452" s="10">
        <v>137</v>
      </c>
      <c r="B452" s="55" t="s">
        <v>241</v>
      </c>
      <c r="C452" s="62" t="s">
        <v>197</v>
      </c>
      <c r="D452" s="17" t="s">
        <v>16</v>
      </c>
      <c r="E452" s="281">
        <v>200</v>
      </c>
      <c r="F452" s="281">
        <v>200</v>
      </c>
      <c r="G452" s="282">
        <f t="shared" si="15"/>
        <v>100</v>
      </c>
      <c r="H452" s="57">
        <v>100</v>
      </c>
      <c r="I452" s="14"/>
      <c r="J452" s="23" t="s">
        <v>525</v>
      </c>
      <c r="K452" s="14"/>
    </row>
    <row r="453" spans="1:11" s="263" customFormat="1" ht="17.25" customHeight="1" x14ac:dyDescent="0.25">
      <c r="A453" s="277"/>
      <c r="B453" s="61" t="s">
        <v>19</v>
      </c>
      <c r="C453" s="288"/>
      <c r="D453" s="22"/>
      <c r="E453" s="305">
        <v>200</v>
      </c>
      <c r="F453" s="305">
        <v>200</v>
      </c>
      <c r="G453" s="306">
        <f t="shared" si="15"/>
        <v>100</v>
      </c>
      <c r="H453" s="285"/>
      <c r="I453" s="279"/>
      <c r="J453" s="279"/>
      <c r="K453" s="279"/>
    </row>
    <row r="454" spans="1:11" ht="99.75" customHeight="1" x14ac:dyDescent="0.25">
      <c r="A454" s="10">
        <v>138</v>
      </c>
      <c r="B454" s="55" t="s">
        <v>242</v>
      </c>
      <c r="C454" s="62" t="s">
        <v>197</v>
      </c>
      <c r="D454" s="17" t="s">
        <v>16</v>
      </c>
      <c r="E454" s="281">
        <v>200</v>
      </c>
      <c r="F454" s="281">
        <v>200</v>
      </c>
      <c r="G454" s="282">
        <f t="shared" si="15"/>
        <v>100</v>
      </c>
      <c r="H454" s="57">
        <v>100</v>
      </c>
      <c r="I454" s="14"/>
      <c r="J454" s="23" t="s">
        <v>525</v>
      </c>
      <c r="K454" s="14"/>
    </row>
    <row r="455" spans="1:11" s="263" customFormat="1" ht="17.25" customHeight="1" x14ac:dyDescent="0.25">
      <c r="A455" s="277"/>
      <c r="B455" s="61" t="s">
        <v>19</v>
      </c>
      <c r="C455" s="288"/>
      <c r="D455" s="22"/>
      <c r="E455" s="305">
        <v>200</v>
      </c>
      <c r="F455" s="305">
        <v>200</v>
      </c>
      <c r="G455" s="306">
        <f t="shared" si="15"/>
        <v>100</v>
      </c>
      <c r="H455" s="285"/>
      <c r="I455" s="279"/>
      <c r="J455" s="279"/>
      <c r="K455" s="279"/>
    </row>
    <row r="456" spans="1:11" ht="69.75" customHeight="1" x14ac:dyDescent="0.25">
      <c r="A456" s="10">
        <v>139</v>
      </c>
      <c r="B456" s="55" t="s">
        <v>243</v>
      </c>
      <c r="C456" s="62" t="s">
        <v>197</v>
      </c>
      <c r="D456" s="17" t="s">
        <v>248</v>
      </c>
      <c r="E456" s="281">
        <v>500</v>
      </c>
      <c r="F456" s="281">
        <v>500</v>
      </c>
      <c r="G456" s="282">
        <f t="shared" si="15"/>
        <v>100</v>
      </c>
      <c r="H456" s="57">
        <v>100</v>
      </c>
      <c r="I456" s="14"/>
      <c r="J456" s="23" t="s">
        <v>449</v>
      </c>
      <c r="K456" s="14"/>
    </row>
    <row r="457" spans="1:11" s="263" customFormat="1" ht="17.25" customHeight="1" x14ac:dyDescent="0.25">
      <c r="A457" s="277"/>
      <c r="B457" s="61" t="s">
        <v>19</v>
      </c>
      <c r="C457" s="288"/>
      <c r="D457" s="22"/>
      <c r="E457" s="283">
        <v>500</v>
      </c>
      <c r="F457" s="283">
        <v>500</v>
      </c>
      <c r="G457" s="306">
        <f t="shared" si="15"/>
        <v>100</v>
      </c>
      <c r="H457" s="297"/>
      <c r="I457" s="279"/>
      <c r="J457" s="279"/>
      <c r="K457" s="279"/>
    </row>
    <row r="458" spans="1:11" ht="66.75" customHeight="1" x14ac:dyDescent="0.25">
      <c r="A458" s="10">
        <v>140</v>
      </c>
      <c r="B458" s="55" t="s">
        <v>244</v>
      </c>
      <c r="C458" s="62" t="s">
        <v>197</v>
      </c>
      <c r="D458" s="17" t="s">
        <v>248</v>
      </c>
      <c r="E458" s="281">
        <v>300</v>
      </c>
      <c r="F458" s="281">
        <v>300</v>
      </c>
      <c r="G458" s="282">
        <f t="shared" si="15"/>
        <v>100</v>
      </c>
      <c r="H458" s="57">
        <v>100</v>
      </c>
      <c r="I458" s="14"/>
      <c r="J458" s="23" t="s">
        <v>449</v>
      </c>
      <c r="K458" s="14"/>
    </row>
    <row r="459" spans="1:11" s="263" customFormat="1" ht="17.25" customHeight="1" x14ac:dyDescent="0.25">
      <c r="A459" s="277"/>
      <c r="B459" s="61" t="s">
        <v>19</v>
      </c>
      <c r="C459" s="288"/>
      <c r="D459" s="22"/>
      <c r="E459" s="283">
        <v>300</v>
      </c>
      <c r="F459" s="283">
        <v>300</v>
      </c>
      <c r="G459" s="306">
        <f t="shared" si="15"/>
        <v>100</v>
      </c>
      <c r="H459" s="285"/>
      <c r="I459" s="279"/>
      <c r="J459" s="279"/>
      <c r="K459" s="279"/>
    </row>
    <row r="460" spans="1:11" ht="54.75" customHeight="1" x14ac:dyDescent="0.25">
      <c r="A460" s="10">
        <v>141</v>
      </c>
      <c r="B460" s="55" t="s">
        <v>245</v>
      </c>
      <c r="C460" s="62" t="s">
        <v>197</v>
      </c>
      <c r="D460" s="17" t="s">
        <v>16</v>
      </c>
      <c r="E460" s="281">
        <v>2000</v>
      </c>
      <c r="F460" s="281">
        <v>2000</v>
      </c>
      <c r="G460" s="282">
        <f t="shared" si="15"/>
        <v>100</v>
      </c>
      <c r="H460" s="57">
        <v>100</v>
      </c>
      <c r="I460" s="14"/>
      <c r="J460" s="23" t="s">
        <v>525</v>
      </c>
      <c r="K460" s="14"/>
    </row>
    <row r="461" spans="1:11" s="263" customFormat="1" ht="17.25" customHeight="1" x14ac:dyDescent="0.25">
      <c r="A461" s="277"/>
      <c r="B461" s="61" t="s">
        <v>19</v>
      </c>
      <c r="C461" s="288"/>
      <c r="D461" s="22"/>
      <c r="E461" s="283">
        <v>2000</v>
      </c>
      <c r="F461" s="283">
        <v>2000</v>
      </c>
      <c r="G461" s="306">
        <f t="shared" si="15"/>
        <v>100</v>
      </c>
      <c r="H461" s="285"/>
      <c r="I461" s="279"/>
      <c r="J461" s="279"/>
      <c r="K461" s="279"/>
    </row>
    <row r="462" spans="1:11" ht="63" customHeight="1" x14ac:dyDescent="0.25">
      <c r="A462" s="10">
        <v>142</v>
      </c>
      <c r="B462" s="55" t="s">
        <v>246</v>
      </c>
      <c r="C462" s="62" t="s">
        <v>197</v>
      </c>
      <c r="D462" s="17" t="s">
        <v>16</v>
      </c>
      <c r="E462" s="281">
        <v>1200</v>
      </c>
      <c r="F462" s="281">
        <v>1200</v>
      </c>
      <c r="G462" s="282">
        <f t="shared" si="15"/>
        <v>100</v>
      </c>
      <c r="H462" s="57">
        <v>100</v>
      </c>
      <c r="I462" s="14"/>
      <c r="J462" s="23" t="s">
        <v>525</v>
      </c>
      <c r="K462" s="14"/>
    </row>
    <row r="463" spans="1:11" s="263" customFormat="1" ht="17.25" customHeight="1" x14ac:dyDescent="0.25">
      <c r="A463" s="277"/>
      <c r="B463" s="61" t="s">
        <v>19</v>
      </c>
      <c r="C463" s="288"/>
      <c r="D463" s="22"/>
      <c r="E463" s="305">
        <v>1200</v>
      </c>
      <c r="F463" s="305">
        <v>1200</v>
      </c>
      <c r="G463" s="306">
        <f t="shared" si="15"/>
        <v>100</v>
      </c>
      <c r="H463" s="285"/>
      <c r="I463" s="279"/>
      <c r="J463" s="279"/>
      <c r="K463" s="279"/>
    </row>
    <row r="464" spans="1:11" ht="68.25" customHeight="1" x14ac:dyDescent="0.25">
      <c r="A464" s="318">
        <v>143</v>
      </c>
      <c r="B464" s="319" t="s">
        <v>247</v>
      </c>
      <c r="C464" s="320" t="s">
        <v>197</v>
      </c>
      <c r="D464" s="321" t="s">
        <v>16</v>
      </c>
      <c r="E464" s="322">
        <v>500</v>
      </c>
      <c r="F464" s="322">
        <v>2000</v>
      </c>
      <c r="G464" s="323">
        <f t="shared" si="15"/>
        <v>400</v>
      </c>
      <c r="H464" s="324">
        <v>100</v>
      </c>
      <c r="I464" s="325"/>
      <c r="J464" s="326" t="s">
        <v>525</v>
      </c>
      <c r="K464" s="14"/>
    </row>
    <row r="465" spans="1:11" s="263" customFormat="1" ht="17.25" customHeight="1" x14ac:dyDescent="0.25">
      <c r="A465" s="327"/>
      <c r="B465" s="328" t="s">
        <v>19</v>
      </c>
      <c r="C465" s="329"/>
      <c r="D465" s="330"/>
      <c r="E465" s="331">
        <v>500</v>
      </c>
      <c r="F465" s="332">
        <v>2000</v>
      </c>
      <c r="G465" s="333">
        <f t="shared" si="15"/>
        <v>400</v>
      </c>
      <c r="H465" s="334"/>
      <c r="I465" s="335"/>
      <c r="J465" s="335"/>
      <c r="K465" s="279"/>
    </row>
    <row r="466" spans="1:11" ht="99" customHeight="1" x14ac:dyDescent="0.25">
      <c r="A466" s="10">
        <v>144</v>
      </c>
      <c r="B466" s="55" t="s">
        <v>296</v>
      </c>
      <c r="C466" s="62" t="s">
        <v>204</v>
      </c>
      <c r="D466" s="17" t="s">
        <v>16</v>
      </c>
      <c r="E466" s="281">
        <v>500</v>
      </c>
      <c r="F466" s="281">
        <v>500</v>
      </c>
      <c r="G466" s="282">
        <f t="shared" ref="G466:G507" si="16">F466/E466*100</f>
        <v>100</v>
      </c>
      <c r="H466" s="57">
        <v>100</v>
      </c>
      <c r="I466" s="48"/>
      <c r="J466" s="23" t="s">
        <v>525</v>
      </c>
      <c r="K466" s="14"/>
    </row>
    <row r="467" spans="1:11" s="263" customFormat="1" ht="17.25" customHeight="1" x14ac:dyDescent="0.25">
      <c r="A467" s="277"/>
      <c r="B467" s="61" t="s">
        <v>19</v>
      </c>
      <c r="C467" s="288"/>
      <c r="D467" s="22"/>
      <c r="E467" s="305">
        <v>500</v>
      </c>
      <c r="F467" s="305">
        <v>500</v>
      </c>
      <c r="G467" s="306">
        <f t="shared" si="16"/>
        <v>100</v>
      </c>
      <c r="H467" s="285"/>
      <c r="I467" s="76"/>
      <c r="J467" s="76"/>
      <c r="K467" s="279"/>
    </row>
    <row r="468" spans="1:11" ht="63.75" customHeight="1" x14ac:dyDescent="0.25">
      <c r="A468" s="10">
        <v>145</v>
      </c>
      <c r="B468" s="55" t="s">
        <v>249</v>
      </c>
      <c r="C468" s="62" t="s">
        <v>204</v>
      </c>
      <c r="D468" s="17" t="s">
        <v>16</v>
      </c>
      <c r="E468" s="281">
        <v>500</v>
      </c>
      <c r="F468" s="281">
        <v>500</v>
      </c>
      <c r="G468" s="282">
        <f t="shared" si="16"/>
        <v>100</v>
      </c>
      <c r="H468" s="57">
        <v>100</v>
      </c>
      <c r="I468" s="48"/>
      <c r="J468" s="23" t="s">
        <v>525</v>
      </c>
      <c r="K468" s="14"/>
    </row>
    <row r="469" spans="1:11" s="263" customFormat="1" ht="17.25" customHeight="1" x14ac:dyDescent="0.25">
      <c r="A469" s="277"/>
      <c r="B469" s="61" t="s">
        <v>19</v>
      </c>
      <c r="C469" s="288"/>
      <c r="D469" s="22"/>
      <c r="E469" s="305">
        <v>500</v>
      </c>
      <c r="F469" s="305">
        <v>500</v>
      </c>
      <c r="G469" s="306">
        <f t="shared" si="16"/>
        <v>100</v>
      </c>
      <c r="H469" s="285"/>
      <c r="I469" s="76"/>
      <c r="J469" s="76"/>
      <c r="K469" s="279"/>
    </row>
    <row r="470" spans="1:11" ht="129.75" customHeight="1" x14ac:dyDescent="0.25">
      <c r="A470" s="10">
        <v>146</v>
      </c>
      <c r="B470" s="55" t="s">
        <v>250</v>
      </c>
      <c r="C470" s="62" t="s">
        <v>204</v>
      </c>
      <c r="D470" s="17" t="s">
        <v>16</v>
      </c>
      <c r="E470" s="281">
        <v>200</v>
      </c>
      <c r="F470" s="281">
        <v>0</v>
      </c>
      <c r="G470" s="282">
        <f t="shared" si="16"/>
        <v>0</v>
      </c>
      <c r="H470" s="57">
        <v>100</v>
      </c>
      <c r="I470" s="48"/>
      <c r="J470" s="23" t="s">
        <v>525</v>
      </c>
      <c r="K470" s="23" t="s">
        <v>553</v>
      </c>
    </row>
    <row r="471" spans="1:11" s="263" customFormat="1" ht="17.25" customHeight="1" x14ac:dyDescent="0.25">
      <c r="A471" s="277"/>
      <c r="B471" s="61" t="s">
        <v>19</v>
      </c>
      <c r="C471" s="288"/>
      <c r="D471" s="22"/>
      <c r="E471" s="305">
        <v>200</v>
      </c>
      <c r="F471" s="305">
        <v>0</v>
      </c>
      <c r="G471" s="306">
        <f t="shared" si="16"/>
        <v>0</v>
      </c>
      <c r="H471" s="285"/>
      <c r="I471" s="76"/>
      <c r="J471" s="266"/>
      <c r="K471" s="279"/>
    </row>
    <row r="472" spans="1:11" ht="52.5" customHeight="1" x14ac:dyDescent="0.25">
      <c r="A472" s="10">
        <v>147</v>
      </c>
      <c r="B472" s="55" t="s">
        <v>297</v>
      </c>
      <c r="C472" s="62" t="s">
        <v>204</v>
      </c>
      <c r="D472" s="17" t="s">
        <v>298</v>
      </c>
      <c r="E472" s="281">
        <v>45000</v>
      </c>
      <c r="F472" s="281">
        <f>F473+F474</f>
        <v>19085.560000000001</v>
      </c>
      <c r="G472" s="282">
        <f t="shared" si="16"/>
        <v>42.412355555555557</v>
      </c>
      <c r="H472" s="57">
        <v>100</v>
      </c>
      <c r="I472" s="62"/>
      <c r="J472" s="23" t="s">
        <v>417</v>
      </c>
      <c r="K472" s="55"/>
    </row>
    <row r="473" spans="1:11" s="263" customFormat="1" ht="17.25" customHeight="1" x14ac:dyDescent="0.25">
      <c r="A473" s="277"/>
      <c r="B473" s="61" t="s">
        <v>19</v>
      </c>
      <c r="C473" s="288"/>
      <c r="D473" s="22"/>
      <c r="E473" s="305">
        <v>22500</v>
      </c>
      <c r="F473" s="305">
        <v>9154.27</v>
      </c>
      <c r="G473" s="306">
        <f t="shared" si="16"/>
        <v>40.685644444444449</v>
      </c>
      <c r="H473" s="285"/>
      <c r="I473" s="76"/>
      <c r="J473" s="76"/>
      <c r="K473" s="279"/>
    </row>
    <row r="474" spans="1:11" s="263" customFormat="1" ht="17.25" customHeight="1" x14ac:dyDescent="0.25">
      <c r="A474" s="277"/>
      <c r="B474" s="61" t="s">
        <v>22</v>
      </c>
      <c r="C474" s="288"/>
      <c r="D474" s="22"/>
      <c r="E474" s="305">
        <v>22500</v>
      </c>
      <c r="F474" s="305">
        <v>9931.2900000000009</v>
      </c>
      <c r="G474" s="306">
        <f t="shared" si="16"/>
        <v>44.139066666666672</v>
      </c>
      <c r="H474" s="285"/>
      <c r="I474" s="76"/>
      <c r="J474" s="76"/>
      <c r="K474" s="279"/>
    </row>
    <row r="475" spans="1:11" ht="110.25" customHeight="1" x14ac:dyDescent="0.25">
      <c r="A475" s="10">
        <v>148</v>
      </c>
      <c r="B475" s="55" t="s">
        <v>251</v>
      </c>
      <c r="C475" s="62" t="s">
        <v>204</v>
      </c>
      <c r="D475" s="17" t="s">
        <v>16</v>
      </c>
      <c r="E475" s="281">
        <v>300</v>
      </c>
      <c r="F475" s="281">
        <v>300</v>
      </c>
      <c r="G475" s="282">
        <f t="shared" si="16"/>
        <v>100</v>
      </c>
      <c r="H475" s="57">
        <v>100</v>
      </c>
      <c r="I475" s="48"/>
      <c r="J475" s="23" t="s">
        <v>525</v>
      </c>
      <c r="K475" s="14"/>
    </row>
    <row r="476" spans="1:11" s="263" customFormat="1" ht="17.25" customHeight="1" x14ac:dyDescent="0.25">
      <c r="A476" s="277"/>
      <c r="B476" s="61" t="s">
        <v>19</v>
      </c>
      <c r="C476" s="288"/>
      <c r="D476" s="22"/>
      <c r="E476" s="305">
        <v>300</v>
      </c>
      <c r="F476" s="283">
        <v>300</v>
      </c>
      <c r="G476" s="306">
        <f t="shared" si="16"/>
        <v>100</v>
      </c>
      <c r="H476" s="285"/>
      <c r="I476" s="76"/>
      <c r="J476" s="76"/>
      <c r="K476" s="279"/>
    </row>
    <row r="477" spans="1:11" ht="66" customHeight="1" x14ac:dyDescent="0.25">
      <c r="A477" s="10">
        <v>149</v>
      </c>
      <c r="B477" s="55" t="s">
        <v>252</v>
      </c>
      <c r="C477" s="62" t="s">
        <v>204</v>
      </c>
      <c r="D477" s="17" t="s">
        <v>16</v>
      </c>
      <c r="E477" s="281">
        <v>400</v>
      </c>
      <c r="F477" s="281">
        <v>400</v>
      </c>
      <c r="G477" s="282">
        <f t="shared" si="16"/>
        <v>100</v>
      </c>
      <c r="H477" s="57">
        <v>100</v>
      </c>
      <c r="I477" s="48"/>
      <c r="J477" s="23" t="s">
        <v>525</v>
      </c>
      <c r="K477" s="14"/>
    </row>
    <row r="478" spans="1:11" s="263" customFormat="1" ht="17.25" customHeight="1" x14ac:dyDescent="0.25">
      <c r="A478" s="277"/>
      <c r="B478" s="61" t="s">
        <v>19</v>
      </c>
      <c r="C478" s="288"/>
      <c r="D478" s="22"/>
      <c r="E478" s="305">
        <v>400</v>
      </c>
      <c r="F478" s="283">
        <v>400</v>
      </c>
      <c r="G478" s="306">
        <f t="shared" si="16"/>
        <v>100</v>
      </c>
      <c r="H478" s="285"/>
      <c r="I478" s="76"/>
      <c r="J478" s="76"/>
      <c r="K478" s="279"/>
    </row>
    <row r="479" spans="1:11" ht="84" customHeight="1" x14ac:dyDescent="0.25">
      <c r="A479" s="10">
        <v>150</v>
      </c>
      <c r="B479" s="55" t="s">
        <v>253</v>
      </c>
      <c r="C479" s="62" t="s">
        <v>204</v>
      </c>
      <c r="D479" s="17" t="s">
        <v>16</v>
      </c>
      <c r="E479" s="281">
        <v>300</v>
      </c>
      <c r="F479" s="281">
        <v>300</v>
      </c>
      <c r="G479" s="282">
        <f t="shared" si="16"/>
        <v>100</v>
      </c>
      <c r="H479" s="57">
        <v>100</v>
      </c>
      <c r="I479" s="48"/>
      <c r="J479" s="23" t="s">
        <v>525</v>
      </c>
      <c r="K479" s="14"/>
    </row>
    <row r="480" spans="1:11" s="263" customFormat="1" ht="17.25" customHeight="1" x14ac:dyDescent="0.25">
      <c r="A480" s="277"/>
      <c r="B480" s="61" t="s">
        <v>19</v>
      </c>
      <c r="C480" s="288"/>
      <c r="D480" s="22"/>
      <c r="E480" s="305">
        <v>300</v>
      </c>
      <c r="F480" s="305">
        <v>300</v>
      </c>
      <c r="G480" s="306">
        <f t="shared" si="16"/>
        <v>100</v>
      </c>
      <c r="H480" s="285"/>
      <c r="I480" s="76"/>
      <c r="J480" s="76"/>
      <c r="K480" s="279"/>
    </row>
    <row r="481" spans="1:11" ht="61.5" customHeight="1" x14ac:dyDescent="0.25">
      <c r="A481" s="10">
        <v>151</v>
      </c>
      <c r="B481" s="55" t="s">
        <v>254</v>
      </c>
      <c r="C481" s="62" t="s">
        <v>204</v>
      </c>
      <c r="D481" s="17" t="s">
        <v>16</v>
      </c>
      <c r="E481" s="281">
        <v>20000</v>
      </c>
      <c r="F481" s="281">
        <f>F482+F483</f>
        <v>47508.6</v>
      </c>
      <c r="G481" s="282">
        <f t="shared" si="16"/>
        <v>237.54299999999998</v>
      </c>
      <c r="H481" s="57">
        <v>100</v>
      </c>
      <c r="I481" s="48"/>
      <c r="J481" s="23" t="s">
        <v>525</v>
      </c>
      <c r="K481" s="14"/>
    </row>
    <row r="482" spans="1:11" s="263" customFormat="1" ht="17.25" customHeight="1" x14ac:dyDescent="0.25">
      <c r="A482" s="277"/>
      <c r="B482" s="61" t="s">
        <v>22</v>
      </c>
      <c r="C482" s="288"/>
      <c r="D482" s="22"/>
      <c r="E482" s="305">
        <v>10000</v>
      </c>
      <c r="F482" s="305">
        <v>10000</v>
      </c>
      <c r="G482" s="306">
        <f t="shared" si="16"/>
        <v>100</v>
      </c>
      <c r="H482" s="285"/>
      <c r="I482" s="76"/>
      <c r="J482" s="76"/>
      <c r="K482" s="279"/>
    </row>
    <row r="483" spans="1:11" s="263" customFormat="1" ht="15.75" customHeight="1" x14ac:dyDescent="0.25">
      <c r="A483" s="277"/>
      <c r="B483" s="61" t="s">
        <v>19</v>
      </c>
      <c r="C483" s="288"/>
      <c r="D483" s="22"/>
      <c r="E483" s="305">
        <v>10000</v>
      </c>
      <c r="F483" s="305">
        <v>37508.6</v>
      </c>
      <c r="G483" s="306">
        <f t="shared" si="16"/>
        <v>375.08600000000001</v>
      </c>
      <c r="H483" s="285"/>
      <c r="I483" s="76"/>
      <c r="J483" s="76"/>
      <c r="K483" s="279"/>
    </row>
    <row r="484" spans="1:11" ht="15.75" customHeight="1" x14ac:dyDescent="0.25">
      <c r="A484" s="10"/>
      <c r="B484" s="48" t="s">
        <v>155</v>
      </c>
      <c r="C484" s="77"/>
      <c r="D484" s="77"/>
      <c r="E484" s="80"/>
      <c r="F484" s="80"/>
      <c r="G484" s="307"/>
      <c r="H484" s="57"/>
      <c r="I484" s="48"/>
      <c r="J484" s="48"/>
      <c r="K484" s="14"/>
    </row>
    <row r="485" spans="1:11" ht="17.25" customHeight="1" x14ac:dyDescent="0.25">
      <c r="A485" s="10"/>
      <c r="B485" s="55" t="s">
        <v>255</v>
      </c>
      <c r="C485" s="77"/>
      <c r="D485" s="77"/>
      <c r="E485" s="80">
        <f>E486+E487</f>
        <v>20000</v>
      </c>
      <c r="F485" s="80">
        <f>F486+F487</f>
        <v>47508.6</v>
      </c>
      <c r="G485" s="307">
        <f t="shared" si="16"/>
        <v>237.54299999999998</v>
      </c>
      <c r="H485" s="57"/>
      <c r="I485" s="48"/>
      <c r="J485" s="48"/>
      <c r="K485" s="14"/>
    </row>
    <row r="486" spans="1:11" s="263" customFormat="1" ht="17.25" customHeight="1" x14ac:dyDescent="0.25">
      <c r="A486" s="277"/>
      <c r="B486" s="61" t="s">
        <v>22</v>
      </c>
      <c r="C486" s="336"/>
      <c r="D486" s="336"/>
      <c r="E486" s="305">
        <v>10000</v>
      </c>
      <c r="F486" s="305">
        <v>10000</v>
      </c>
      <c r="G486" s="306">
        <f t="shared" si="16"/>
        <v>100</v>
      </c>
      <c r="H486" s="285"/>
      <c r="I486" s="76"/>
      <c r="J486" s="76"/>
      <c r="K486" s="279"/>
    </row>
    <row r="487" spans="1:11" s="263" customFormat="1" ht="17.25" customHeight="1" x14ac:dyDescent="0.25">
      <c r="A487" s="277"/>
      <c r="B487" s="61" t="s">
        <v>19</v>
      </c>
      <c r="C487" s="336"/>
      <c r="D487" s="336"/>
      <c r="E487" s="305">
        <v>10000</v>
      </c>
      <c r="F487" s="305">
        <v>37508.6</v>
      </c>
      <c r="G487" s="306">
        <f t="shared" si="16"/>
        <v>375.08600000000001</v>
      </c>
      <c r="H487" s="285"/>
      <c r="I487" s="76"/>
      <c r="J487" s="76"/>
      <c r="K487" s="279"/>
    </row>
    <row r="488" spans="1:11" ht="54.75" customHeight="1" x14ac:dyDescent="0.25">
      <c r="A488" s="10">
        <v>152</v>
      </c>
      <c r="B488" s="55" t="s">
        <v>256</v>
      </c>
      <c r="C488" s="62" t="s">
        <v>204</v>
      </c>
      <c r="D488" s="17" t="s">
        <v>16</v>
      </c>
      <c r="E488" s="281">
        <v>3000</v>
      </c>
      <c r="F488" s="281">
        <v>3000</v>
      </c>
      <c r="G488" s="282">
        <f t="shared" si="16"/>
        <v>100</v>
      </c>
      <c r="H488" s="57">
        <v>100</v>
      </c>
      <c r="I488" s="48"/>
      <c r="J488" s="23" t="s">
        <v>525</v>
      </c>
      <c r="K488" s="14"/>
    </row>
    <row r="489" spans="1:11" s="263" customFormat="1" ht="17.25" customHeight="1" x14ac:dyDescent="0.25">
      <c r="A489" s="277"/>
      <c r="B489" s="61" t="s">
        <v>19</v>
      </c>
      <c r="C489" s="336"/>
      <c r="D489" s="336"/>
      <c r="E489" s="305">
        <v>3000</v>
      </c>
      <c r="F489" s="305">
        <v>3000</v>
      </c>
      <c r="G489" s="306">
        <f t="shared" si="16"/>
        <v>100</v>
      </c>
      <c r="H489" s="285"/>
      <c r="I489" s="76"/>
      <c r="J489" s="76"/>
      <c r="K489" s="279"/>
    </row>
    <row r="490" spans="1:11" ht="81.75" customHeight="1" x14ac:dyDescent="0.25">
      <c r="A490" s="10">
        <v>153</v>
      </c>
      <c r="B490" s="55" t="s">
        <v>257</v>
      </c>
      <c r="C490" s="62" t="s">
        <v>204</v>
      </c>
      <c r="D490" s="17" t="s">
        <v>16</v>
      </c>
      <c r="E490" s="281">
        <v>700</v>
      </c>
      <c r="F490" s="281">
        <v>700</v>
      </c>
      <c r="G490" s="282">
        <f t="shared" si="16"/>
        <v>100</v>
      </c>
      <c r="H490" s="57">
        <v>100</v>
      </c>
      <c r="I490" s="48"/>
      <c r="J490" s="23" t="s">
        <v>525</v>
      </c>
      <c r="K490" s="14"/>
    </row>
    <row r="491" spans="1:11" s="263" customFormat="1" ht="17.25" customHeight="1" x14ac:dyDescent="0.25">
      <c r="A491" s="277"/>
      <c r="B491" s="61" t="s">
        <v>19</v>
      </c>
      <c r="C491" s="336"/>
      <c r="D491" s="336"/>
      <c r="E491" s="305">
        <v>700</v>
      </c>
      <c r="F491" s="305">
        <v>700</v>
      </c>
      <c r="G491" s="306">
        <f t="shared" si="16"/>
        <v>100</v>
      </c>
      <c r="H491" s="285"/>
      <c r="I491" s="76"/>
      <c r="J491" s="76"/>
      <c r="K491" s="279"/>
    </row>
    <row r="492" spans="1:11" ht="84" customHeight="1" x14ac:dyDescent="0.25">
      <c r="A492" s="10">
        <v>154</v>
      </c>
      <c r="B492" s="55" t="s">
        <v>258</v>
      </c>
      <c r="C492" s="62" t="s">
        <v>206</v>
      </c>
      <c r="D492" s="17" t="s">
        <v>16</v>
      </c>
      <c r="E492" s="281">
        <v>300</v>
      </c>
      <c r="F492" s="281">
        <v>278.3</v>
      </c>
      <c r="G492" s="282">
        <f t="shared" si="16"/>
        <v>92.76666666666668</v>
      </c>
      <c r="H492" s="57">
        <v>100</v>
      </c>
      <c r="I492" s="14"/>
      <c r="J492" s="23" t="s">
        <v>525</v>
      </c>
      <c r="K492" s="14"/>
    </row>
    <row r="493" spans="1:11" s="263" customFormat="1" ht="17.25" customHeight="1" x14ac:dyDescent="0.25">
      <c r="A493" s="277"/>
      <c r="B493" s="61" t="s">
        <v>22</v>
      </c>
      <c r="C493" s="336"/>
      <c r="D493" s="336"/>
      <c r="E493" s="305">
        <v>300</v>
      </c>
      <c r="F493" s="305">
        <v>278.3</v>
      </c>
      <c r="G493" s="306">
        <f t="shared" si="16"/>
        <v>92.76666666666668</v>
      </c>
      <c r="H493" s="285"/>
      <c r="I493" s="279"/>
      <c r="J493" s="279"/>
      <c r="K493" s="279"/>
    </row>
    <row r="494" spans="1:11" ht="84" customHeight="1" x14ac:dyDescent="0.25">
      <c r="A494" s="10">
        <v>155</v>
      </c>
      <c r="B494" s="55" t="s">
        <v>259</v>
      </c>
      <c r="C494" s="62" t="s">
        <v>206</v>
      </c>
      <c r="D494" s="17" t="s">
        <v>16</v>
      </c>
      <c r="E494" s="281">
        <v>600</v>
      </c>
      <c r="F494" s="281">
        <v>595.05999999999995</v>
      </c>
      <c r="G494" s="282">
        <f t="shared" si="16"/>
        <v>99.176666666666662</v>
      </c>
      <c r="H494" s="57">
        <v>100</v>
      </c>
      <c r="I494" s="14"/>
      <c r="J494" s="23" t="s">
        <v>525</v>
      </c>
      <c r="K494" s="14"/>
    </row>
    <row r="495" spans="1:11" s="263" customFormat="1" ht="17.25" customHeight="1" x14ac:dyDescent="0.25">
      <c r="A495" s="277"/>
      <c r="B495" s="61" t="s">
        <v>22</v>
      </c>
      <c r="C495" s="336"/>
      <c r="D495" s="336"/>
      <c r="E495" s="305">
        <v>600</v>
      </c>
      <c r="F495" s="305">
        <v>595.05999999999995</v>
      </c>
      <c r="G495" s="306">
        <f t="shared" si="16"/>
        <v>99.176666666666662</v>
      </c>
      <c r="H495" s="285"/>
      <c r="I495" s="279"/>
      <c r="J495" s="279"/>
      <c r="K495" s="279"/>
    </row>
    <row r="496" spans="1:11" ht="66" customHeight="1" x14ac:dyDescent="0.25">
      <c r="A496" s="10">
        <v>156</v>
      </c>
      <c r="B496" s="55" t="s">
        <v>260</v>
      </c>
      <c r="C496" s="62" t="s">
        <v>206</v>
      </c>
      <c r="D496" s="17" t="s">
        <v>16</v>
      </c>
      <c r="E496" s="281">
        <v>2100</v>
      </c>
      <c r="F496" s="281">
        <v>2099.6799999999998</v>
      </c>
      <c r="G496" s="282">
        <f t="shared" si="16"/>
        <v>99.984761904761896</v>
      </c>
      <c r="H496" s="57">
        <v>100</v>
      </c>
      <c r="I496" s="14"/>
      <c r="J496" s="23" t="s">
        <v>525</v>
      </c>
      <c r="K496" s="14"/>
    </row>
    <row r="497" spans="1:11" s="263" customFormat="1" ht="17.25" customHeight="1" x14ac:dyDescent="0.25">
      <c r="A497" s="277"/>
      <c r="B497" s="61" t="s">
        <v>22</v>
      </c>
      <c r="C497" s="336"/>
      <c r="D497" s="336"/>
      <c r="E497" s="305">
        <v>2100</v>
      </c>
      <c r="F497" s="305">
        <v>2099.6799999999998</v>
      </c>
      <c r="G497" s="306">
        <f t="shared" si="16"/>
        <v>99.984761904761896</v>
      </c>
      <c r="H497" s="285"/>
      <c r="I497" s="279"/>
      <c r="J497" s="279"/>
      <c r="K497" s="279"/>
    </row>
    <row r="498" spans="1:11" ht="65.25" customHeight="1" x14ac:dyDescent="0.25">
      <c r="A498" s="10">
        <v>157</v>
      </c>
      <c r="B498" s="55" t="s">
        <v>261</v>
      </c>
      <c r="C498" s="62" t="s">
        <v>206</v>
      </c>
      <c r="D498" s="17" t="s">
        <v>16</v>
      </c>
      <c r="E498" s="281">
        <v>700</v>
      </c>
      <c r="F498" s="281">
        <v>682.38</v>
      </c>
      <c r="G498" s="282">
        <f t="shared" si="16"/>
        <v>97.482857142857142</v>
      </c>
      <c r="H498" s="57">
        <v>100</v>
      </c>
      <c r="I498" s="14"/>
      <c r="J498" s="23" t="s">
        <v>525</v>
      </c>
      <c r="K498" s="14"/>
    </row>
    <row r="499" spans="1:11" s="263" customFormat="1" ht="17.25" customHeight="1" x14ac:dyDescent="0.25">
      <c r="A499" s="277"/>
      <c r="B499" s="61" t="s">
        <v>22</v>
      </c>
      <c r="C499" s="336"/>
      <c r="D499" s="336"/>
      <c r="E499" s="305">
        <v>700</v>
      </c>
      <c r="F499" s="305">
        <v>682.38</v>
      </c>
      <c r="G499" s="306">
        <f t="shared" si="16"/>
        <v>97.482857142857142</v>
      </c>
      <c r="H499" s="285"/>
      <c r="I499" s="279"/>
      <c r="J499" s="279"/>
      <c r="K499" s="279"/>
    </row>
    <row r="500" spans="1:11" ht="69" customHeight="1" x14ac:dyDescent="0.25">
      <c r="A500" s="10">
        <v>158</v>
      </c>
      <c r="B500" s="55" t="s">
        <v>262</v>
      </c>
      <c r="C500" s="62" t="s">
        <v>208</v>
      </c>
      <c r="D500" s="17" t="s">
        <v>16</v>
      </c>
      <c r="E500" s="281">
        <v>30000</v>
      </c>
      <c r="F500" s="281">
        <v>29999.99</v>
      </c>
      <c r="G500" s="282">
        <f t="shared" si="16"/>
        <v>99.99996666666668</v>
      </c>
      <c r="H500" s="57">
        <v>100</v>
      </c>
      <c r="I500" s="14"/>
      <c r="J500" s="23" t="s">
        <v>525</v>
      </c>
      <c r="K500" s="23"/>
    </row>
    <row r="501" spans="1:11" s="263" customFormat="1" ht="17.25" customHeight="1" x14ac:dyDescent="0.25">
      <c r="A501" s="277"/>
      <c r="B501" s="61" t="s">
        <v>22</v>
      </c>
      <c r="C501" s="288"/>
      <c r="D501" s="22"/>
      <c r="E501" s="305">
        <v>30000</v>
      </c>
      <c r="F501" s="305">
        <v>29999.99</v>
      </c>
      <c r="G501" s="306">
        <f t="shared" si="16"/>
        <v>99.99996666666668</v>
      </c>
      <c r="H501" s="297"/>
      <c r="I501" s="279"/>
      <c r="J501" s="279"/>
      <c r="K501" s="279"/>
    </row>
    <row r="502" spans="1:11" ht="17.25" customHeight="1" x14ac:dyDescent="0.25">
      <c r="A502" s="10"/>
      <c r="B502" s="28" t="s">
        <v>54</v>
      </c>
      <c r="C502" s="62"/>
      <c r="D502" s="17"/>
      <c r="E502" s="337">
        <f>E503+E504+E505</f>
        <v>292105</v>
      </c>
      <c r="F502" s="337">
        <f>F503+F504+F505</f>
        <v>275857.29000000004</v>
      </c>
      <c r="G502" s="338">
        <f t="shared" si="16"/>
        <v>94.437715889834152</v>
      </c>
      <c r="H502" s="57"/>
      <c r="I502" s="14"/>
      <c r="J502" s="14"/>
      <c r="K502" s="14"/>
    </row>
    <row r="503" spans="1:11" s="263" customFormat="1" ht="17.25" customHeight="1" x14ac:dyDescent="0.25">
      <c r="A503" s="277"/>
      <c r="B503" s="24" t="s">
        <v>13</v>
      </c>
      <c r="C503" s="288"/>
      <c r="D503" s="22"/>
      <c r="E503" s="305">
        <f>E361+E366+E382+E436+E444+E446+E448</f>
        <v>27605</v>
      </c>
      <c r="F503" s="305">
        <f>F361+F366+F382+F436+F444+F446+F448</f>
        <v>27598.269999999997</v>
      </c>
      <c r="G503" s="306">
        <f t="shared" si="16"/>
        <v>99.975620358630664</v>
      </c>
      <c r="H503" s="285"/>
      <c r="I503" s="279"/>
      <c r="J503" s="279"/>
      <c r="K503" s="279"/>
    </row>
    <row r="504" spans="1:11" s="263" customFormat="1" ht="17.25" customHeight="1" x14ac:dyDescent="0.25">
      <c r="A504" s="277"/>
      <c r="B504" s="61" t="s">
        <v>22</v>
      </c>
      <c r="C504" s="288"/>
      <c r="D504" s="22"/>
      <c r="E504" s="305">
        <f>E434+E474+E482+E493+E495+E497+E499+E501</f>
        <v>68200</v>
      </c>
      <c r="F504" s="305">
        <f>F416+F424+F434+F474+F482+F493+F495+F497+F499+F501</f>
        <v>57986.700000000004</v>
      </c>
      <c r="G504" s="306">
        <f t="shared" si="16"/>
        <v>85.024486803519068</v>
      </c>
      <c r="H504" s="285"/>
      <c r="I504" s="279"/>
      <c r="J504" s="279"/>
      <c r="K504" s="279"/>
    </row>
    <row r="505" spans="1:11" s="263" customFormat="1" ht="18.75" customHeight="1" x14ac:dyDescent="0.25">
      <c r="A505" s="277"/>
      <c r="B505" s="61" t="s">
        <v>19</v>
      </c>
      <c r="C505" s="288"/>
      <c r="D505" s="22"/>
      <c r="E505" s="305">
        <f>E333+E339+E345+E351+E356+E372+E378+E387+E393+E395+E400+E405+E410+E412+E419+E423+E426+E431+E439+E441+E443+E451+E453+E455+E457+E459+E461+E463+E465+E467+E469+E471+E473+E476+E478+E480+E483+E489+E491+E421</f>
        <v>196300</v>
      </c>
      <c r="F505" s="305">
        <f>F333+F339+F345+F351+F356+F372+F378+F387+F393+F395+F400+F405+F410+F412+F419+F423+F426+F431+F439+F441+F443+F451+F453+F455+F457+F459+F461+F463+F465+F467+F469+F471+F473+F476+F478+F480+F483+F489+F491+F421</f>
        <v>190272.32</v>
      </c>
      <c r="G505" s="306">
        <f t="shared" si="16"/>
        <v>96.929353031074896</v>
      </c>
      <c r="H505" s="285"/>
      <c r="I505" s="279"/>
      <c r="J505" s="279"/>
      <c r="K505" s="279"/>
    </row>
    <row r="506" spans="1:11" ht="17.25" customHeight="1" x14ac:dyDescent="0.25">
      <c r="A506" s="10"/>
      <c r="B506" s="31" t="s">
        <v>73</v>
      </c>
      <c r="C506" s="62"/>
      <c r="D506" s="17"/>
      <c r="E506" s="337">
        <f>E507+E508+E509+E510</f>
        <v>4627212</v>
      </c>
      <c r="F506" s="337">
        <f>F507+F508+F509+F510</f>
        <v>4728304.2</v>
      </c>
      <c r="G506" s="338">
        <f t="shared" si="16"/>
        <v>102.18473240473962</v>
      </c>
      <c r="H506" s="57"/>
      <c r="I506" s="14"/>
      <c r="J506" s="14"/>
      <c r="K506" s="14"/>
    </row>
    <row r="507" spans="1:11" s="263" customFormat="1" ht="17.25" customHeight="1" x14ac:dyDescent="0.25">
      <c r="A507" s="277"/>
      <c r="B507" s="32" t="s">
        <v>13</v>
      </c>
      <c r="C507" s="288"/>
      <c r="D507" s="22"/>
      <c r="E507" s="305">
        <f>E328+E503</f>
        <v>3842712</v>
      </c>
      <c r="F507" s="305">
        <f>F328+F503</f>
        <v>3957788.38</v>
      </c>
      <c r="G507" s="306">
        <f t="shared" si="16"/>
        <v>102.99466574648322</v>
      </c>
      <c r="H507" s="285"/>
      <c r="I507" s="279"/>
      <c r="J507" s="279"/>
      <c r="K507" s="279"/>
    </row>
    <row r="508" spans="1:11" s="263" customFormat="1" ht="17.25" customHeight="1" x14ac:dyDescent="0.25">
      <c r="A508" s="277"/>
      <c r="B508" s="79" t="s">
        <v>22</v>
      </c>
      <c r="C508" s="288"/>
      <c r="D508" s="22"/>
      <c r="E508" s="305">
        <f>E329+E504</f>
        <v>568200</v>
      </c>
      <c r="F508" s="305">
        <f>F329+F504</f>
        <v>526559.80000000005</v>
      </c>
      <c r="G508" s="306">
        <f>F508/E508*100</f>
        <v>92.671559310102083</v>
      </c>
      <c r="H508" s="285"/>
      <c r="I508" s="279"/>
      <c r="J508" s="279"/>
      <c r="K508" s="279"/>
    </row>
    <row r="509" spans="1:11" s="263" customFormat="1" ht="20.25" customHeight="1" x14ac:dyDescent="0.25">
      <c r="A509" s="277"/>
      <c r="B509" s="32" t="s">
        <v>53</v>
      </c>
      <c r="C509" s="288"/>
      <c r="D509" s="22"/>
      <c r="E509" s="305">
        <f>E505</f>
        <v>196300</v>
      </c>
      <c r="F509" s="305">
        <f>F505</f>
        <v>190272.32</v>
      </c>
      <c r="G509" s="306">
        <f>F509/E509*100</f>
        <v>96.929353031074896</v>
      </c>
      <c r="H509" s="285"/>
      <c r="I509" s="279"/>
      <c r="J509" s="279"/>
      <c r="K509" s="279"/>
    </row>
    <row r="510" spans="1:11" s="263" customFormat="1" ht="33" customHeight="1" x14ac:dyDescent="0.25">
      <c r="A510" s="277"/>
      <c r="B510" s="79" t="s">
        <v>139</v>
      </c>
      <c r="C510" s="272"/>
      <c r="D510" s="272"/>
      <c r="E510" s="283">
        <f>E330</f>
        <v>20000</v>
      </c>
      <c r="F510" s="283">
        <f>F330</f>
        <v>53683.7</v>
      </c>
      <c r="G510" s="284">
        <f>F510/E510*100</f>
        <v>268.41849999999999</v>
      </c>
      <c r="H510" s="285"/>
      <c r="I510" s="279"/>
      <c r="J510" s="279"/>
      <c r="K510" s="279"/>
    </row>
    <row r="511" spans="1:11" ht="17.25" customHeight="1" x14ac:dyDescent="0.25">
      <c r="A511" s="10"/>
      <c r="B511" s="55"/>
      <c r="C511" s="1"/>
      <c r="D511" s="1"/>
      <c r="E511" s="56"/>
      <c r="F511" s="56"/>
      <c r="G511" s="56"/>
      <c r="H511" s="57"/>
      <c r="I511" s="14"/>
      <c r="J511" s="14"/>
      <c r="K511" s="14"/>
    </row>
    <row r="512" spans="1:11" ht="17.25" customHeight="1" x14ac:dyDescent="0.25">
      <c r="A512" s="542" t="s">
        <v>307</v>
      </c>
      <c r="B512" s="542"/>
      <c r="C512" s="542"/>
      <c r="D512" s="542"/>
      <c r="E512" s="542"/>
      <c r="F512" s="542"/>
      <c r="G512" s="542"/>
      <c r="H512" s="542"/>
      <c r="I512" s="542"/>
      <c r="J512" s="542"/>
      <c r="K512" s="542"/>
    </row>
    <row r="513" spans="1:11" ht="17.25" customHeight="1" x14ac:dyDescent="0.25">
      <c r="A513" s="541" t="s">
        <v>74</v>
      </c>
      <c r="B513" s="541"/>
      <c r="C513" s="541"/>
      <c r="D513" s="541"/>
      <c r="E513" s="541"/>
      <c r="F513" s="541"/>
      <c r="G513" s="541"/>
      <c r="H513" s="541"/>
      <c r="I513" s="541"/>
      <c r="J513" s="541"/>
      <c r="K513" s="541"/>
    </row>
    <row r="514" spans="1:11" s="38" customFormat="1" ht="79.5" customHeight="1" x14ac:dyDescent="0.25">
      <c r="A514" s="10">
        <v>159</v>
      </c>
      <c r="B514" s="64" t="s">
        <v>75</v>
      </c>
      <c r="C514" s="19" t="s">
        <v>14</v>
      </c>
      <c r="D514" s="17" t="s">
        <v>16</v>
      </c>
      <c r="E514" s="339">
        <v>26073</v>
      </c>
      <c r="F514" s="339">
        <v>26072</v>
      </c>
      <c r="G514" s="340">
        <f t="shared" ref="G514:G527" si="17">F514/E514*100</f>
        <v>99.996164614735548</v>
      </c>
      <c r="H514" s="21">
        <v>100</v>
      </c>
      <c r="I514" s="82"/>
      <c r="J514" s="23" t="s">
        <v>351</v>
      </c>
      <c r="K514" s="19"/>
    </row>
    <row r="515" spans="1:11" s="345" customFormat="1" ht="18.75" customHeight="1" x14ac:dyDescent="0.25">
      <c r="A515" s="277"/>
      <c r="B515" s="24" t="s">
        <v>13</v>
      </c>
      <c r="C515" s="265"/>
      <c r="D515" s="265"/>
      <c r="E515" s="341">
        <v>26073</v>
      </c>
      <c r="F515" s="341">
        <v>26072</v>
      </c>
      <c r="G515" s="342">
        <f t="shared" si="17"/>
        <v>99.996164614735548</v>
      </c>
      <c r="H515" s="343"/>
      <c r="I515" s="344"/>
      <c r="J515" s="266"/>
      <c r="K515" s="265"/>
    </row>
    <row r="516" spans="1:11" s="38" customFormat="1" ht="84" customHeight="1" x14ac:dyDescent="0.25">
      <c r="A516" s="10">
        <v>160</v>
      </c>
      <c r="B516" s="64" t="s">
        <v>76</v>
      </c>
      <c r="C516" s="19" t="s">
        <v>14</v>
      </c>
      <c r="D516" s="17" t="s">
        <v>16</v>
      </c>
      <c r="E516" s="339">
        <v>26300</v>
      </c>
      <c r="F516" s="339">
        <v>26259</v>
      </c>
      <c r="G516" s="340">
        <f t="shared" si="17"/>
        <v>99.844106463878319</v>
      </c>
      <c r="H516" s="21">
        <v>100</v>
      </c>
      <c r="I516" s="82"/>
      <c r="J516" s="23" t="s">
        <v>351</v>
      </c>
      <c r="K516" s="19"/>
    </row>
    <row r="517" spans="1:11" s="345" customFormat="1" ht="17.25" customHeight="1" x14ac:dyDescent="0.25">
      <c r="A517" s="277"/>
      <c r="B517" s="24" t="s">
        <v>13</v>
      </c>
      <c r="C517" s="265"/>
      <c r="D517" s="265"/>
      <c r="E517" s="341">
        <v>26300</v>
      </c>
      <c r="F517" s="341">
        <v>26259</v>
      </c>
      <c r="G517" s="342">
        <f t="shared" si="17"/>
        <v>99.844106463878319</v>
      </c>
      <c r="H517" s="343"/>
      <c r="I517" s="344"/>
      <c r="J517" s="266"/>
      <c r="K517" s="287"/>
    </row>
    <row r="518" spans="1:11" s="345" customFormat="1" ht="46.5" customHeight="1" x14ac:dyDescent="0.25">
      <c r="A518" s="10">
        <v>161</v>
      </c>
      <c r="B518" s="18" t="s">
        <v>554</v>
      </c>
      <c r="C518" s="19" t="s">
        <v>14</v>
      </c>
      <c r="D518" s="265"/>
      <c r="E518" s="339">
        <v>135898</v>
      </c>
      <c r="F518" s="339">
        <v>132994.35999999999</v>
      </c>
      <c r="G518" s="340">
        <f t="shared" si="17"/>
        <v>97.86336811432102</v>
      </c>
      <c r="H518" s="21">
        <v>100</v>
      </c>
      <c r="I518" s="344"/>
      <c r="J518" s="23" t="s">
        <v>433</v>
      </c>
      <c r="K518" s="287"/>
    </row>
    <row r="519" spans="1:11" s="345" customFormat="1" ht="21.75" customHeight="1" x14ac:dyDescent="0.25">
      <c r="A519" s="277"/>
      <c r="B519" s="24" t="s">
        <v>13</v>
      </c>
      <c r="C519" s="265"/>
      <c r="D519" s="265"/>
      <c r="E519" s="341">
        <v>135898</v>
      </c>
      <c r="F519" s="341">
        <v>132994.35999999999</v>
      </c>
      <c r="G519" s="342">
        <f t="shared" si="17"/>
        <v>97.86336811432102</v>
      </c>
      <c r="H519" s="343"/>
      <c r="I519" s="344"/>
      <c r="J519" s="266"/>
      <c r="K519" s="287"/>
    </row>
    <row r="520" spans="1:11" s="38" customFormat="1" ht="112.5" customHeight="1" x14ac:dyDescent="0.25">
      <c r="A520" s="10">
        <v>162</v>
      </c>
      <c r="B520" s="64" t="s">
        <v>77</v>
      </c>
      <c r="C520" s="19" t="s">
        <v>14</v>
      </c>
      <c r="D520" s="17" t="s">
        <v>16</v>
      </c>
      <c r="E520" s="339">
        <v>21300</v>
      </c>
      <c r="F520" s="339">
        <v>21294</v>
      </c>
      <c r="G520" s="340">
        <f t="shared" si="17"/>
        <v>99.971830985915489</v>
      </c>
      <c r="H520" s="21">
        <v>100</v>
      </c>
      <c r="I520" s="82"/>
      <c r="J520" s="23" t="s">
        <v>351</v>
      </c>
      <c r="K520" s="19"/>
    </row>
    <row r="521" spans="1:11" s="345" customFormat="1" ht="18.75" customHeight="1" x14ac:dyDescent="0.25">
      <c r="A521" s="277"/>
      <c r="B521" s="83" t="s">
        <v>13</v>
      </c>
      <c r="C521" s="265"/>
      <c r="D521" s="265"/>
      <c r="E521" s="341">
        <v>21300</v>
      </c>
      <c r="F521" s="341">
        <v>21294</v>
      </c>
      <c r="G521" s="342">
        <f t="shared" si="17"/>
        <v>99.971830985915489</v>
      </c>
      <c r="H521" s="343"/>
      <c r="I521" s="344"/>
      <c r="J521" s="344"/>
      <c r="K521" s="265"/>
    </row>
    <row r="522" spans="1:11" s="38" customFormat="1" ht="115.5" customHeight="1" x14ac:dyDescent="0.25">
      <c r="A522" s="10">
        <v>163</v>
      </c>
      <c r="B522" s="64" t="s">
        <v>78</v>
      </c>
      <c r="C522" s="19" t="s">
        <v>50</v>
      </c>
      <c r="D522" s="17" t="s">
        <v>16</v>
      </c>
      <c r="E522" s="339">
        <f>E523+E524</f>
        <v>7500</v>
      </c>
      <c r="F522" s="339">
        <f>F523+F524</f>
        <v>7500</v>
      </c>
      <c r="G522" s="340">
        <f>F522/E522*100</f>
        <v>100</v>
      </c>
      <c r="H522" s="21">
        <v>100</v>
      </c>
      <c r="I522" s="82"/>
      <c r="J522" s="23" t="s">
        <v>351</v>
      </c>
      <c r="K522" s="19"/>
    </row>
    <row r="523" spans="1:11" s="263" customFormat="1" ht="17.25" customHeight="1" x14ac:dyDescent="0.25">
      <c r="A523" s="277"/>
      <c r="B523" s="83" t="s">
        <v>13</v>
      </c>
      <c r="C523" s="265"/>
      <c r="D523" s="265"/>
      <c r="E523" s="341">
        <v>5000</v>
      </c>
      <c r="F523" s="341">
        <v>5000</v>
      </c>
      <c r="G523" s="342">
        <f t="shared" si="17"/>
        <v>100</v>
      </c>
      <c r="H523" s="343"/>
      <c r="I523" s="344"/>
      <c r="J523" s="266"/>
      <c r="K523" s="265"/>
    </row>
    <row r="524" spans="1:11" s="263" customFormat="1" ht="39.75" customHeight="1" x14ac:dyDescent="0.25">
      <c r="A524" s="277"/>
      <c r="B524" s="83" t="s">
        <v>139</v>
      </c>
      <c r="C524" s="265"/>
      <c r="D524" s="265"/>
      <c r="E524" s="341">
        <v>2500</v>
      </c>
      <c r="F524" s="341">
        <v>2500</v>
      </c>
      <c r="G524" s="342">
        <f t="shared" si="17"/>
        <v>100</v>
      </c>
      <c r="H524" s="343"/>
      <c r="I524" s="344"/>
      <c r="J524" s="266"/>
      <c r="K524" s="265"/>
    </row>
    <row r="525" spans="1:11" s="38" customFormat="1" ht="17.25" customHeight="1" x14ac:dyDescent="0.25">
      <c r="A525" s="10"/>
      <c r="B525" s="84" t="s">
        <v>54</v>
      </c>
      <c r="C525" s="19"/>
      <c r="D525" s="19"/>
      <c r="E525" s="346">
        <f>E526+E527</f>
        <v>217071</v>
      </c>
      <c r="F525" s="346">
        <f t="shared" ref="F525" si="18">F526+F527</f>
        <v>214119.36</v>
      </c>
      <c r="G525" s="347">
        <f t="shared" si="17"/>
        <v>98.640242132758402</v>
      </c>
      <c r="H525" s="21"/>
      <c r="I525" s="82"/>
      <c r="J525" s="23"/>
      <c r="K525" s="19"/>
    </row>
    <row r="526" spans="1:11" s="345" customFormat="1" ht="17.25" customHeight="1" x14ac:dyDescent="0.25">
      <c r="A526" s="277"/>
      <c r="B526" s="83" t="s">
        <v>13</v>
      </c>
      <c r="C526" s="265"/>
      <c r="D526" s="265"/>
      <c r="E526" s="341">
        <f>E515+E517+E519+E521+E523</f>
        <v>214571</v>
      </c>
      <c r="F526" s="341">
        <f>F515+F517+F519+F521+F523</f>
        <v>211619.36</v>
      </c>
      <c r="G526" s="342">
        <f t="shared" si="17"/>
        <v>98.62439938295482</v>
      </c>
      <c r="H526" s="343"/>
      <c r="I526" s="344"/>
      <c r="J526" s="266"/>
      <c r="K526" s="265"/>
    </row>
    <row r="527" spans="1:11" s="345" customFormat="1" ht="35.25" customHeight="1" x14ac:dyDescent="0.25">
      <c r="A527" s="277"/>
      <c r="B527" s="83" t="s">
        <v>139</v>
      </c>
      <c r="C527" s="265"/>
      <c r="D527" s="265"/>
      <c r="E527" s="341">
        <f>E524</f>
        <v>2500</v>
      </c>
      <c r="F527" s="341">
        <f>F524</f>
        <v>2500</v>
      </c>
      <c r="G527" s="342">
        <f t="shared" si="17"/>
        <v>100</v>
      </c>
      <c r="H527" s="343"/>
      <c r="I527" s="344"/>
      <c r="J527" s="344"/>
      <c r="K527" s="265"/>
    </row>
    <row r="528" spans="1:11" ht="17.25" customHeight="1" x14ac:dyDescent="0.25">
      <c r="A528" s="10"/>
      <c r="B528" s="541" t="s">
        <v>79</v>
      </c>
      <c r="C528" s="541"/>
      <c r="D528" s="541"/>
      <c r="E528" s="541"/>
      <c r="F528" s="541"/>
      <c r="G528" s="541"/>
      <c r="H528" s="541"/>
      <c r="I528" s="541"/>
      <c r="J528" s="541"/>
      <c r="K528" s="541"/>
    </row>
    <row r="529" spans="1:11" s="38" customFormat="1" ht="113.25" customHeight="1" x14ac:dyDescent="0.25">
      <c r="A529" s="10">
        <v>164</v>
      </c>
      <c r="B529" s="64" t="s">
        <v>80</v>
      </c>
      <c r="C529" s="19" t="s">
        <v>14</v>
      </c>
      <c r="D529" s="17" t="s">
        <v>16</v>
      </c>
      <c r="E529" s="339">
        <v>104100</v>
      </c>
      <c r="F529" s="339">
        <v>104099.99</v>
      </c>
      <c r="G529" s="340">
        <f t="shared" ref="G529:G542" si="19">F529/E529*100</f>
        <v>99.999990393852073</v>
      </c>
      <c r="H529" s="21">
        <v>100</v>
      </c>
      <c r="I529" s="82"/>
      <c r="J529" s="23" t="s">
        <v>351</v>
      </c>
      <c r="K529" s="53"/>
    </row>
    <row r="530" spans="1:11" s="345" customFormat="1" ht="17.25" customHeight="1" x14ac:dyDescent="0.25">
      <c r="A530" s="277"/>
      <c r="B530" s="83" t="s">
        <v>13</v>
      </c>
      <c r="C530" s="265"/>
      <c r="D530" s="265"/>
      <c r="E530" s="341">
        <v>104100</v>
      </c>
      <c r="F530" s="341">
        <v>104099.99</v>
      </c>
      <c r="G530" s="342">
        <f t="shared" si="19"/>
        <v>99.999990393852073</v>
      </c>
      <c r="H530" s="343"/>
      <c r="I530" s="348"/>
      <c r="J530" s="266"/>
      <c r="K530" s="287"/>
    </row>
    <row r="531" spans="1:11" s="38" customFormat="1" ht="109.5" customHeight="1" x14ac:dyDescent="0.25">
      <c r="A531" s="10">
        <v>165</v>
      </c>
      <c r="B531" s="64" t="s">
        <v>80</v>
      </c>
      <c r="C531" s="19" t="s">
        <v>14</v>
      </c>
      <c r="D531" s="17" t="s">
        <v>16</v>
      </c>
      <c r="E531" s="339">
        <v>15500</v>
      </c>
      <c r="F531" s="339">
        <v>15500</v>
      </c>
      <c r="G531" s="340">
        <f t="shared" si="19"/>
        <v>100</v>
      </c>
      <c r="H531" s="21">
        <v>100</v>
      </c>
      <c r="I531" s="82"/>
      <c r="J531" s="23" t="s">
        <v>351</v>
      </c>
      <c r="K531" s="53"/>
    </row>
    <row r="532" spans="1:11" s="345" customFormat="1" ht="17.25" customHeight="1" x14ac:dyDescent="0.25">
      <c r="A532" s="277"/>
      <c r="B532" s="83" t="s">
        <v>13</v>
      </c>
      <c r="C532" s="265"/>
      <c r="D532" s="265"/>
      <c r="E532" s="341">
        <v>15500</v>
      </c>
      <c r="F532" s="341">
        <v>15498</v>
      </c>
      <c r="G532" s="342">
        <f t="shared" si="19"/>
        <v>99.987096774193546</v>
      </c>
      <c r="H532" s="343"/>
      <c r="I532" s="348"/>
      <c r="J532" s="266"/>
      <c r="K532" s="287"/>
    </row>
    <row r="533" spans="1:11" s="38" customFormat="1" ht="65.25" customHeight="1" x14ac:dyDescent="0.25">
      <c r="A533" s="10">
        <v>166</v>
      </c>
      <c r="B533" s="64" t="s">
        <v>81</v>
      </c>
      <c r="C533" s="19" t="s">
        <v>14</v>
      </c>
      <c r="D533" s="17" t="s">
        <v>16</v>
      </c>
      <c r="E533" s="349">
        <v>11000</v>
      </c>
      <c r="F533" s="349">
        <v>11000</v>
      </c>
      <c r="G533" s="340">
        <f t="shared" si="19"/>
        <v>100</v>
      </c>
      <c r="H533" s="21">
        <v>100</v>
      </c>
      <c r="I533" s="82"/>
      <c r="J533" s="23" t="s">
        <v>351</v>
      </c>
      <c r="K533" s="53"/>
    </row>
    <row r="534" spans="1:11" s="345" customFormat="1" ht="17.25" customHeight="1" x14ac:dyDescent="0.25">
      <c r="A534" s="277"/>
      <c r="B534" s="83" t="s">
        <v>13</v>
      </c>
      <c r="C534" s="265"/>
      <c r="D534" s="350"/>
      <c r="E534" s="351">
        <v>11000</v>
      </c>
      <c r="F534" s="351">
        <v>11000</v>
      </c>
      <c r="G534" s="342">
        <f t="shared" si="19"/>
        <v>100</v>
      </c>
      <c r="H534" s="352"/>
      <c r="I534" s="348"/>
      <c r="J534" s="266"/>
      <c r="K534" s="287"/>
    </row>
    <row r="535" spans="1:11" s="38" customFormat="1" ht="68.25" customHeight="1" x14ac:dyDescent="0.25">
      <c r="A535" s="10">
        <v>167</v>
      </c>
      <c r="B535" s="90" t="s">
        <v>82</v>
      </c>
      <c r="C535" s="19" t="s">
        <v>14</v>
      </c>
      <c r="D535" s="17" t="s">
        <v>16</v>
      </c>
      <c r="E535" s="353">
        <v>8200</v>
      </c>
      <c r="F535" s="353">
        <v>8190</v>
      </c>
      <c r="G535" s="340">
        <f t="shared" si="19"/>
        <v>99.878048780487802</v>
      </c>
      <c r="H535" s="21">
        <v>100</v>
      </c>
      <c r="I535" s="93"/>
      <c r="J535" s="23" t="s">
        <v>351</v>
      </c>
      <c r="K535" s="53"/>
    </row>
    <row r="536" spans="1:11" s="345" customFormat="1" ht="17.25" customHeight="1" x14ac:dyDescent="0.25">
      <c r="A536" s="277"/>
      <c r="B536" s="83" t="s">
        <v>13</v>
      </c>
      <c r="C536" s="265"/>
      <c r="D536" s="354"/>
      <c r="E536" s="355">
        <v>8200</v>
      </c>
      <c r="F536" s="355">
        <v>8190</v>
      </c>
      <c r="G536" s="342">
        <f t="shared" si="19"/>
        <v>99.878048780487802</v>
      </c>
      <c r="H536" s="356"/>
      <c r="I536" s="357"/>
      <c r="J536" s="357"/>
      <c r="K536" s="287"/>
    </row>
    <row r="537" spans="1:11" s="38" customFormat="1" ht="93" customHeight="1" x14ac:dyDescent="0.25">
      <c r="A537" s="10">
        <v>168</v>
      </c>
      <c r="B537" s="90" t="s">
        <v>83</v>
      </c>
      <c r="C537" s="19" t="s">
        <v>14</v>
      </c>
      <c r="D537" s="17" t="s">
        <v>16</v>
      </c>
      <c r="E537" s="358">
        <v>135998</v>
      </c>
      <c r="F537" s="358">
        <v>135997.76999999999</v>
      </c>
      <c r="G537" s="340">
        <f t="shared" si="19"/>
        <v>99.999830879865868</v>
      </c>
      <c r="H537" s="21">
        <v>100</v>
      </c>
      <c r="I537" s="17"/>
      <c r="J537" s="23" t="s">
        <v>351</v>
      </c>
      <c r="K537" s="53"/>
    </row>
    <row r="538" spans="1:11" s="345" customFormat="1" ht="17.25" customHeight="1" x14ac:dyDescent="0.25">
      <c r="A538" s="277"/>
      <c r="B538" s="83" t="s">
        <v>13</v>
      </c>
      <c r="C538" s="265"/>
      <c r="D538" s="265"/>
      <c r="E538" s="359">
        <v>135998</v>
      </c>
      <c r="F538" s="359">
        <v>135997.76999999999</v>
      </c>
      <c r="G538" s="342">
        <f t="shared" si="19"/>
        <v>99.999830879865868</v>
      </c>
      <c r="H538" s="99"/>
      <c r="I538" s="360"/>
      <c r="J538" s="361"/>
      <c r="K538" s="287"/>
    </row>
    <row r="539" spans="1:11" s="345" customFormat="1" ht="62.25" customHeight="1" x14ac:dyDescent="0.25">
      <c r="A539" s="10">
        <v>169</v>
      </c>
      <c r="B539" s="64" t="s">
        <v>299</v>
      </c>
      <c r="C539" s="19" t="s">
        <v>14</v>
      </c>
      <c r="D539" s="17" t="s">
        <v>280</v>
      </c>
      <c r="E539" s="358">
        <v>18000</v>
      </c>
      <c r="F539" s="358">
        <v>18000</v>
      </c>
      <c r="G539" s="340">
        <f t="shared" si="19"/>
        <v>100</v>
      </c>
      <c r="H539" s="21">
        <v>100</v>
      </c>
      <c r="I539" s="360"/>
      <c r="J539" s="23" t="s">
        <v>351</v>
      </c>
      <c r="K539" s="287"/>
    </row>
    <row r="540" spans="1:11" s="345" customFormat="1" ht="22.5" customHeight="1" x14ac:dyDescent="0.25">
      <c r="A540" s="277"/>
      <c r="B540" s="83" t="s">
        <v>13</v>
      </c>
      <c r="C540" s="265"/>
      <c r="D540" s="265"/>
      <c r="E540" s="359">
        <v>18000</v>
      </c>
      <c r="F540" s="359">
        <v>18000</v>
      </c>
      <c r="G540" s="342">
        <f t="shared" si="19"/>
        <v>100</v>
      </c>
      <c r="H540" s="99"/>
      <c r="I540" s="360"/>
      <c r="J540" s="361"/>
      <c r="K540" s="287"/>
    </row>
    <row r="541" spans="1:11" s="38" customFormat="1" ht="17.25" customHeight="1" x14ac:dyDescent="0.25">
      <c r="A541" s="10"/>
      <c r="B541" s="84" t="s">
        <v>54</v>
      </c>
      <c r="C541" s="19"/>
      <c r="D541" s="19"/>
      <c r="E541" s="346">
        <f>E537+E535+E533+E531+E529+E539</f>
        <v>292798</v>
      </c>
      <c r="F541" s="346">
        <f>F537+F535+F533+F531+F529</f>
        <v>274787.76</v>
      </c>
      <c r="G541" s="347">
        <f t="shared" si="19"/>
        <v>93.848919733058295</v>
      </c>
      <c r="H541" s="99"/>
      <c r="I541" s="100"/>
      <c r="J541" s="100"/>
      <c r="K541" s="53"/>
    </row>
    <row r="542" spans="1:11" s="345" customFormat="1" ht="17.25" customHeight="1" x14ac:dyDescent="0.25">
      <c r="A542" s="277"/>
      <c r="B542" s="83" t="s">
        <v>13</v>
      </c>
      <c r="C542" s="265"/>
      <c r="D542" s="265"/>
      <c r="E542" s="341">
        <f>E538+E536+E534+E532+E530+E540</f>
        <v>292798</v>
      </c>
      <c r="F542" s="341">
        <f>F540+F538+F536+F534+F532+F530</f>
        <v>292785.76</v>
      </c>
      <c r="G542" s="342">
        <f t="shared" si="19"/>
        <v>99.995819643576795</v>
      </c>
      <c r="H542" s="99"/>
      <c r="I542" s="362"/>
      <c r="J542" s="362"/>
      <c r="K542" s="287"/>
    </row>
    <row r="543" spans="1:11" ht="19.5" customHeight="1" x14ac:dyDescent="0.25">
      <c r="A543" s="541" t="s">
        <v>84</v>
      </c>
      <c r="B543" s="541"/>
      <c r="C543" s="541"/>
      <c r="D543" s="541"/>
      <c r="E543" s="541"/>
      <c r="F543" s="541"/>
      <c r="G543" s="541"/>
      <c r="H543" s="541"/>
      <c r="I543" s="541"/>
      <c r="J543" s="541"/>
      <c r="K543" s="541"/>
    </row>
    <row r="544" spans="1:11" s="38" customFormat="1" ht="82.5" customHeight="1" x14ac:dyDescent="0.25">
      <c r="A544" s="10">
        <v>170</v>
      </c>
      <c r="B544" s="64" t="s">
        <v>85</v>
      </c>
      <c r="C544" s="19" t="s">
        <v>14</v>
      </c>
      <c r="D544" s="17" t="s">
        <v>16</v>
      </c>
      <c r="E544" s="339">
        <v>5600</v>
      </c>
      <c r="F544" s="339">
        <v>3000</v>
      </c>
      <c r="G544" s="340">
        <f t="shared" ref="G544:G551" si="20">F544/E544*100</f>
        <v>53.571428571428569</v>
      </c>
      <c r="H544" s="21">
        <v>100</v>
      </c>
      <c r="I544" s="100"/>
      <c r="J544" s="23" t="s">
        <v>351</v>
      </c>
      <c r="K544" s="53"/>
    </row>
    <row r="545" spans="1:11" s="345" customFormat="1" ht="20.25" customHeight="1" x14ac:dyDescent="0.25">
      <c r="A545" s="277"/>
      <c r="B545" s="83" t="s">
        <v>13</v>
      </c>
      <c r="C545" s="265"/>
      <c r="D545" s="265"/>
      <c r="E545" s="341">
        <v>5600</v>
      </c>
      <c r="F545" s="341">
        <v>3000</v>
      </c>
      <c r="G545" s="342">
        <f t="shared" si="20"/>
        <v>53.571428571428569</v>
      </c>
      <c r="H545" s="99"/>
      <c r="I545" s="362"/>
      <c r="J545" s="266"/>
      <c r="K545" s="287"/>
    </row>
    <row r="546" spans="1:11" s="38" customFormat="1" ht="81" customHeight="1" x14ac:dyDescent="0.25">
      <c r="A546" s="10">
        <v>171</v>
      </c>
      <c r="B546" s="64" t="s">
        <v>86</v>
      </c>
      <c r="C546" s="19" t="s">
        <v>14</v>
      </c>
      <c r="D546" s="17" t="s">
        <v>16</v>
      </c>
      <c r="E546" s="339">
        <v>171700</v>
      </c>
      <c r="F546" s="339">
        <v>171700</v>
      </c>
      <c r="G546" s="340">
        <f t="shared" si="20"/>
        <v>100</v>
      </c>
      <c r="H546" s="21">
        <v>100</v>
      </c>
      <c r="I546" s="100"/>
      <c r="J546" s="23" t="s">
        <v>351</v>
      </c>
      <c r="K546" s="53"/>
    </row>
    <row r="547" spans="1:11" s="345" customFormat="1" ht="17.25" customHeight="1" x14ac:dyDescent="0.25">
      <c r="A547" s="277"/>
      <c r="B547" s="83" t="s">
        <v>13</v>
      </c>
      <c r="C547" s="265"/>
      <c r="D547" s="265"/>
      <c r="E547" s="341">
        <v>171700</v>
      </c>
      <c r="F547" s="341">
        <v>171700</v>
      </c>
      <c r="G547" s="342">
        <f t="shared" si="20"/>
        <v>100</v>
      </c>
      <c r="H547" s="99"/>
      <c r="I547" s="362"/>
      <c r="J547" s="266"/>
      <c r="K547" s="287"/>
    </row>
    <row r="548" spans="1:11" s="38" customFormat="1" ht="49.5" customHeight="1" x14ac:dyDescent="0.25">
      <c r="A548" s="10">
        <v>172</v>
      </c>
      <c r="B548" s="64" t="s">
        <v>87</v>
      </c>
      <c r="C548" s="19" t="s">
        <v>14</v>
      </c>
      <c r="D548" s="17" t="s">
        <v>16</v>
      </c>
      <c r="E548" s="339">
        <v>9500</v>
      </c>
      <c r="F548" s="339">
        <v>9500</v>
      </c>
      <c r="G548" s="340">
        <f t="shared" si="20"/>
        <v>100</v>
      </c>
      <c r="H548" s="21">
        <v>100</v>
      </c>
      <c r="I548" s="100"/>
      <c r="J548" s="23" t="s">
        <v>351</v>
      </c>
      <c r="K548" s="53"/>
    </row>
    <row r="549" spans="1:11" s="345" customFormat="1" ht="17.25" customHeight="1" x14ac:dyDescent="0.25">
      <c r="A549" s="277"/>
      <c r="B549" s="83" t="s">
        <v>13</v>
      </c>
      <c r="C549" s="265"/>
      <c r="D549" s="265"/>
      <c r="E549" s="341">
        <v>9500</v>
      </c>
      <c r="F549" s="341">
        <v>9500</v>
      </c>
      <c r="G549" s="342">
        <f t="shared" si="20"/>
        <v>100</v>
      </c>
      <c r="H549" s="99"/>
      <c r="I549" s="362"/>
      <c r="J549" s="362"/>
      <c r="K549" s="287"/>
    </row>
    <row r="550" spans="1:11" s="38" customFormat="1" ht="17.25" customHeight="1" x14ac:dyDescent="0.25">
      <c r="A550" s="10"/>
      <c r="B550" s="84" t="s">
        <v>54</v>
      </c>
      <c r="C550" s="19"/>
      <c r="D550" s="19"/>
      <c r="E550" s="346">
        <f>E545+E547+E549</f>
        <v>186800</v>
      </c>
      <c r="F550" s="346">
        <f>F545+F547+F549</f>
        <v>184200</v>
      </c>
      <c r="G550" s="347">
        <f t="shared" si="20"/>
        <v>98.608137044967876</v>
      </c>
      <c r="H550" s="96"/>
      <c r="I550" s="100"/>
      <c r="J550" s="100"/>
      <c r="K550" s="53"/>
    </row>
    <row r="551" spans="1:11" s="345" customFormat="1" ht="17.25" customHeight="1" x14ac:dyDescent="0.25">
      <c r="A551" s="277"/>
      <c r="B551" s="83" t="s">
        <v>13</v>
      </c>
      <c r="C551" s="265"/>
      <c r="D551" s="265"/>
      <c r="E551" s="341">
        <f>E545+E547+E549</f>
        <v>186800</v>
      </c>
      <c r="F551" s="341">
        <f>F545+F547+F549</f>
        <v>184200</v>
      </c>
      <c r="G551" s="342">
        <f t="shared" si="20"/>
        <v>98.608137044967876</v>
      </c>
      <c r="H551" s="99"/>
      <c r="I551" s="362"/>
      <c r="J551" s="362"/>
      <c r="K551" s="287"/>
    </row>
    <row r="552" spans="1:11" ht="17.25" customHeight="1" x14ac:dyDescent="0.25">
      <c r="A552" s="10"/>
      <c r="B552" s="24"/>
      <c r="C552" s="12"/>
      <c r="D552" s="12"/>
      <c r="E552" s="20"/>
      <c r="F552" s="20"/>
      <c r="G552" s="20"/>
      <c r="H552" s="13"/>
      <c r="I552" s="14"/>
      <c r="J552" s="14"/>
      <c r="K552" s="14"/>
    </row>
    <row r="553" spans="1:11" ht="19.5" customHeight="1" x14ac:dyDescent="0.25">
      <c r="A553" s="541" t="s">
        <v>88</v>
      </c>
      <c r="B553" s="541"/>
      <c r="C553" s="541"/>
      <c r="D553" s="541"/>
      <c r="E553" s="541"/>
      <c r="F553" s="541"/>
      <c r="G553" s="541"/>
      <c r="H553" s="541"/>
      <c r="I553" s="541"/>
      <c r="J553" s="541"/>
      <c r="K553" s="541"/>
    </row>
    <row r="554" spans="1:11" s="38" customFormat="1" ht="128.25" customHeight="1" x14ac:dyDescent="0.25">
      <c r="A554" s="10">
        <v>173</v>
      </c>
      <c r="B554" s="64" t="s">
        <v>89</v>
      </c>
      <c r="C554" s="19" t="s">
        <v>14</v>
      </c>
      <c r="D554" s="17" t="s">
        <v>16</v>
      </c>
      <c r="E554" s="339">
        <v>2300</v>
      </c>
      <c r="F554" s="339">
        <v>2300</v>
      </c>
      <c r="G554" s="340">
        <f t="shared" ref="G554:G555" si="21">F554/E554*100</f>
        <v>100</v>
      </c>
      <c r="H554" s="21">
        <v>100</v>
      </c>
      <c r="I554" s="101"/>
      <c r="J554" s="23" t="s">
        <v>351</v>
      </c>
      <c r="K554" s="53"/>
    </row>
    <row r="555" spans="1:11" s="345" customFormat="1" ht="17.25" customHeight="1" x14ac:dyDescent="0.25">
      <c r="A555" s="277"/>
      <c r="B555" s="83" t="s">
        <v>13</v>
      </c>
      <c r="C555" s="265"/>
      <c r="D555" s="265"/>
      <c r="E555" s="341">
        <v>2300</v>
      </c>
      <c r="F555" s="341">
        <v>2300</v>
      </c>
      <c r="G555" s="342">
        <f t="shared" si="21"/>
        <v>100</v>
      </c>
      <c r="H555" s="99"/>
      <c r="I555" s="101"/>
      <c r="J555" s="266"/>
      <c r="K555" s="287"/>
    </row>
    <row r="556" spans="1:11" s="38" customFormat="1" ht="67.5" customHeight="1" x14ac:dyDescent="0.25">
      <c r="A556" s="10">
        <v>174</v>
      </c>
      <c r="B556" s="64" t="s">
        <v>90</v>
      </c>
      <c r="C556" s="19" t="s">
        <v>14</v>
      </c>
      <c r="D556" s="17" t="s">
        <v>16</v>
      </c>
      <c r="E556" s="33">
        <v>2500</v>
      </c>
      <c r="F556" s="33">
        <v>2500</v>
      </c>
      <c r="G556" s="340">
        <f>F556/E556*100</f>
        <v>100</v>
      </c>
      <c r="H556" s="21">
        <v>100</v>
      </c>
      <c r="I556" s="102"/>
      <c r="J556" s="23" t="s">
        <v>351</v>
      </c>
      <c r="K556" s="53"/>
    </row>
    <row r="557" spans="1:11" s="345" customFormat="1" ht="17.25" customHeight="1" x14ac:dyDescent="0.25">
      <c r="A557" s="277"/>
      <c r="B557" s="24" t="s">
        <v>13</v>
      </c>
      <c r="C557" s="22"/>
      <c r="D557" s="22"/>
      <c r="E557" s="35">
        <v>2500</v>
      </c>
      <c r="F557" s="35">
        <v>2500</v>
      </c>
      <c r="G557" s="269">
        <f>F557/E557*100</f>
        <v>100</v>
      </c>
      <c r="H557" s="25"/>
      <c r="I557" s="363"/>
      <c r="J557" s="266"/>
      <c r="K557" s="287"/>
    </row>
    <row r="558" spans="1:11" s="38" customFormat="1" ht="81" customHeight="1" x14ac:dyDescent="0.25">
      <c r="A558" s="10">
        <v>175</v>
      </c>
      <c r="B558" s="18" t="s">
        <v>91</v>
      </c>
      <c r="C558" s="17" t="s">
        <v>92</v>
      </c>
      <c r="D558" s="17" t="s">
        <v>16</v>
      </c>
      <c r="E558" s="33">
        <v>5216</v>
      </c>
      <c r="F558" s="33">
        <v>5216</v>
      </c>
      <c r="G558" s="30">
        <f t="shared" ref="G558:G563" si="22">F558/E558*100</f>
        <v>100</v>
      </c>
      <c r="H558" s="21">
        <v>100</v>
      </c>
      <c r="I558" s="59"/>
      <c r="J558" s="23" t="s">
        <v>351</v>
      </c>
      <c r="K558" s="53"/>
    </row>
    <row r="559" spans="1:11" s="345" customFormat="1" ht="17.25" customHeight="1" x14ac:dyDescent="0.25">
      <c r="A559" s="277"/>
      <c r="B559" s="83" t="s">
        <v>13</v>
      </c>
      <c r="C559" s="22"/>
      <c r="D559" s="22"/>
      <c r="E559" s="35">
        <v>5216</v>
      </c>
      <c r="F559" s="35">
        <v>5216</v>
      </c>
      <c r="G559" s="269">
        <f t="shared" si="22"/>
        <v>100</v>
      </c>
      <c r="H559" s="25"/>
      <c r="I559" s="363"/>
      <c r="J559" s="266"/>
      <c r="K559" s="287"/>
    </row>
    <row r="560" spans="1:11" s="38" customFormat="1" ht="85.5" customHeight="1" x14ac:dyDescent="0.25">
      <c r="A560" s="10">
        <v>176</v>
      </c>
      <c r="B560" s="18" t="s">
        <v>93</v>
      </c>
      <c r="C560" s="17" t="s">
        <v>92</v>
      </c>
      <c r="D560" s="17" t="s">
        <v>16</v>
      </c>
      <c r="E560" s="33">
        <v>5117</v>
      </c>
      <c r="F560" s="33">
        <v>5117</v>
      </c>
      <c r="G560" s="30">
        <f t="shared" si="22"/>
        <v>100</v>
      </c>
      <c r="H560" s="21">
        <v>100</v>
      </c>
      <c r="I560" s="59"/>
      <c r="J560" s="23" t="s">
        <v>351</v>
      </c>
      <c r="K560" s="53"/>
    </row>
    <row r="561" spans="1:11" s="345" customFormat="1" ht="17.25" customHeight="1" x14ac:dyDescent="0.25">
      <c r="A561" s="277"/>
      <c r="B561" s="24" t="s">
        <v>13</v>
      </c>
      <c r="C561" s="22"/>
      <c r="D561" s="22"/>
      <c r="E561" s="35">
        <v>5117</v>
      </c>
      <c r="F561" s="35">
        <v>5117</v>
      </c>
      <c r="G561" s="269">
        <f t="shared" si="22"/>
        <v>100</v>
      </c>
      <c r="H561" s="25"/>
      <c r="I561" s="363"/>
      <c r="J561" s="364"/>
      <c r="K561" s="287"/>
    </row>
    <row r="562" spans="1:11" s="38" customFormat="1" ht="17.25" customHeight="1" x14ac:dyDescent="0.25">
      <c r="A562" s="10"/>
      <c r="B562" s="28" t="s">
        <v>54</v>
      </c>
      <c r="C562" s="17"/>
      <c r="D562" s="17"/>
      <c r="E562" s="34">
        <f>E555+E557+E559+E561</f>
        <v>15133</v>
      </c>
      <c r="F562" s="34">
        <f>F555+F557+F559+F561</f>
        <v>15133</v>
      </c>
      <c r="G562" s="43">
        <f t="shared" si="22"/>
        <v>100</v>
      </c>
      <c r="H562" s="27"/>
      <c r="I562" s="59"/>
      <c r="J562" s="104"/>
      <c r="K562" s="53"/>
    </row>
    <row r="563" spans="1:11" s="345" customFormat="1" ht="17.25" customHeight="1" x14ac:dyDescent="0.25">
      <c r="A563" s="277"/>
      <c r="B563" s="24" t="s">
        <v>13</v>
      </c>
      <c r="C563" s="22"/>
      <c r="D563" s="22"/>
      <c r="E563" s="35">
        <f>E555+E557+E559+E561</f>
        <v>15133</v>
      </c>
      <c r="F563" s="35">
        <f>F555+F557+F559+F561</f>
        <v>15133</v>
      </c>
      <c r="G563" s="269">
        <f t="shared" si="22"/>
        <v>100</v>
      </c>
      <c r="H563" s="25"/>
      <c r="I563" s="363"/>
      <c r="J563" s="364"/>
      <c r="K563" s="287"/>
    </row>
    <row r="564" spans="1:11" ht="17.25" customHeight="1" x14ac:dyDescent="0.25">
      <c r="A564" s="541" t="s">
        <v>94</v>
      </c>
      <c r="B564" s="541"/>
      <c r="C564" s="541"/>
      <c r="D564" s="541"/>
      <c r="E564" s="541"/>
      <c r="F564" s="541"/>
      <c r="G564" s="541"/>
      <c r="H564" s="541"/>
      <c r="I564" s="541"/>
      <c r="J564" s="541"/>
      <c r="K564" s="541"/>
    </row>
    <row r="565" spans="1:11" s="38" customFormat="1" ht="46.5" customHeight="1" x14ac:dyDescent="0.25">
      <c r="A565" s="10">
        <v>177</v>
      </c>
      <c r="B565" s="64" t="s">
        <v>95</v>
      </c>
      <c r="C565" s="19" t="s">
        <v>14</v>
      </c>
      <c r="D565" s="17" t="s">
        <v>16</v>
      </c>
      <c r="E565" s="339">
        <v>1200</v>
      </c>
      <c r="F565" s="339">
        <v>1142.1300000000001</v>
      </c>
      <c r="G565" s="340">
        <f t="shared" ref="G565:G574" si="23">F565/E565*100</f>
        <v>95.177500000000009</v>
      </c>
      <c r="H565" s="21">
        <v>100</v>
      </c>
      <c r="I565" s="19"/>
      <c r="J565" s="23" t="s">
        <v>351</v>
      </c>
      <c r="K565" s="53"/>
    </row>
    <row r="566" spans="1:11" s="345" customFormat="1" ht="21" customHeight="1" x14ac:dyDescent="0.25">
      <c r="A566" s="277"/>
      <c r="B566" s="83" t="s">
        <v>13</v>
      </c>
      <c r="C566" s="265"/>
      <c r="D566" s="265"/>
      <c r="E566" s="341">
        <v>1200</v>
      </c>
      <c r="F566" s="341">
        <v>1142.1300000000001</v>
      </c>
      <c r="G566" s="342">
        <f t="shared" si="23"/>
        <v>95.177500000000009</v>
      </c>
      <c r="H566" s="343"/>
      <c r="I566" s="365"/>
      <c r="J566" s="266"/>
      <c r="K566" s="287"/>
    </row>
    <row r="567" spans="1:11" s="38" customFormat="1" ht="98.25" customHeight="1" x14ac:dyDescent="0.25">
      <c r="A567" s="10">
        <v>178</v>
      </c>
      <c r="B567" s="64" t="s">
        <v>96</v>
      </c>
      <c r="C567" s="19" t="s">
        <v>14</v>
      </c>
      <c r="D567" s="17" t="s">
        <v>16</v>
      </c>
      <c r="E567" s="339">
        <v>4500</v>
      </c>
      <c r="F567" s="339">
        <v>4428.92</v>
      </c>
      <c r="G567" s="340">
        <f t="shared" si="23"/>
        <v>98.420444444444442</v>
      </c>
      <c r="H567" s="21">
        <v>100</v>
      </c>
      <c r="I567" s="19"/>
      <c r="J567" s="23" t="s">
        <v>351</v>
      </c>
      <c r="K567" s="53"/>
    </row>
    <row r="568" spans="1:11" s="345" customFormat="1" ht="20.25" customHeight="1" x14ac:dyDescent="0.25">
      <c r="A568" s="277"/>
      <c r="B568" s="83" t="s">
        <v>13</v>
      </c>
      <c r="C568" s="265"/>
      <c r="D568" s="265"/>
      <c r="E568" s="341">
        <v>4500</v>
      </c>
      <c r="F568" s="341">
        <v>4428.92</v>
      </c>
      <c r="G568" s="342">
        <f t="shared" si="23"/>
        <v>98.420444444444442</v>
      </c>
      <c r="H568" s="343"/>
      <c r="I568" s="265"/>
      <c r="J568" s="266"/>
      <c r="K568" s="287"/>
    </row>
    <row r="569" spans="1:11" s="38" customFormat="1" ht="83.25" customHeight="1" x14ac:dyDescent="0.25">
      <c r="A569" s="10">
        <v>179</v>
      </c>
      <c r="B569" s="64" t="s">
        <v>97</v>
      </c>
      <c r="C569" s="19" t="s">
        <v>14</v>
      </c>
      <c r="D569" s="17" t="s">
        <v>16</v>
      </c>
      <c r="E569" s="339">
        <v>10300</v>
      </c>
      <c r="F569" s="339">
        <v>9986.39</v>
      </c>
      <c r="G569" s="340">
        <f t="shared" si="23"/>
        <v>96.955242718446598</v>
      </c>
      <c r="H569" s="21">
        <v>100</v>
      </c>
      <c r="I569" s="19"/>
      <c r="J569" s="23" t="s">
        <v>351</v>
      </c>
      <c r="K569" s="53"/>
    </row>
    <row r="570" spans="1:11" s="345" customFormat="1" ht="21" customHeight="1" x14ac:dyDescent="0.25">
      <c r="A570" s="277"/>
      <c r="B570" s="83" t="s">
        <v>13</v>
      </c>
      <c r="C570" s="265"/>
      <c r="D570" s="265"/>
      <c r="E570" s="341">
        <v>10300</v>
      </c>
      <c r="F570" s="341">
        <v>9986.39</v>
      </c>
      <c r="G570" s="342">
        <f t="shared" si="23"/>
        <v>96.955242718446598</v>
      </c>
      <c r="H570" s="343"/>
      <c r="I570" s="265"/>
      <c r="J570" s="266"/>
      <c r="K570" s="287"/>
    </row>
    <row r="571" spans="1:11" s="38" customFormat="1" ht="50.25" customHeight="1" x14ac:dyDescent="0.25">
      <c r="A571" s="10">
        <v>180</v>
      </c>
      <c r="B571" s="64" t="s">
        <v>98</v>
      </c>
      <c r="C571" s="19" t="s">
        <v>14</v>
      </c>
      <c r="D571" s="17" t="s">
        <v>16</v>
      </c>
      <c r="E571" s="339">
        <v>33100</v>
      </c>
      <c r="F571" s="339">
        <v>33041.79</v>
      </c>
      <c r="G571" s="340">
        <f t="shared" si="23"/>
        <v>99.824138972809678</v>
      </c>
      <c r="H571" s="21">
        <v>100</v>
      </c>
      <c r="I571" s="64"/>
      <c r="J571" s="23" t="s">
        <v>351</v>
      </c>
      <c r="K571" s="53"/>
    </row>
    <row r="572" spans="1:11" s="345" customFormat="1" ht="19.5" customHeight="1" x14ac:dyDescent="0.25">
      <c r="A572" s="277"/>
      <c r="B572" s="83" t="s">
        <v>13</v>
      </c>
      <c r="C572" s="265"/>
      <c r="D572" s="265"/>
      <c r="E572" s="341">
        <v>33100</v>
      </c>
      <c r="F572" s="341">
        <v>33041.79</v>
      </c>
      <c r="G572" s="342">
        <f t="shared" si="23"/>
        <v>99.824138972809678</v>
      </c>
      <c r="H572" s="343"/>
      <c r="I572" s="265"/>
      <c r="J572" s="366"/>
      <c r="K572" s="287"/>
    </row>
    <row r="573" spans="1:11" s="345" customFormat="1" ht="63" customHeight="1" x14ac:dyDescent="0.25">
      <c r="A573" s="10">
        <v>181</v>
      </c>
      <c r="B573" s="64" t="s">
        <v>300</v>
      </c>
      <c r="C573" s="19" t="s">
        <v>14</v>
      </c>
      <c r="D573" s="17" t="s">
        <v>290</v>
      </c>
      <c r="E573" s="339">
        <v>174700</v>
      </c>
      <c r="F573" s="339">
        <v>174700</v>
      </c>
      <c r="G573" s="340">
        <f t="shared" si="23"/>
        <v>100</v>
      </c>
      <c r="H573" s="21">
        <v>100</v>
      </c>
      <c r="I573" s="265"/>
      <c r="J573" s="23" t="s">
        <v>417</v>
      </c>
      <c r="K573" s="287"/>
    </row>
    <row r="574" spans="1:11" s="345" customFormat="1" ht="18.75" customHeight="1" x14ac:dyDescent="0.25">
      <c r="A574" s="277"/>
      <c r="B574" s="83" t="s">
        <v>13</v>
      </c>
      <c r="C574" s="265"/>
      <c r="D574" s="265"/>
      <c r="E574" s="341">
        <v>174700</v>
      </c>
      <c r="F574" s="341">
        <v>174700</v>
      </c>
      <c r="G574" s="342">
        <f t="shared" si="23"/>
        <v>100</v>
      </c>
      <c r="H574" s="343"/>
      <c r="I574" s="265"/>
      <c r="J574" s="366"/>
      <c r="K574" s="287"/>
    </row>
    <row r="575" spans="1:11" s="38" customFormat="1" ht="19.5" customHeight="1" x14ac:dyDescent="0.25">
      <c r="A575" s="10"/>
      <c r="B575" s="84" t="s">
        <v>54</v>
      </c>
      <c r="C575" s="19"/>
      <c r="D575" s="19"/>
      <c r="E575" s="346">
        <f>E565+E567+E569+E571+E573</f>
        <v>223800</v>
      </c>
      <c r="F575" s="346">
        <f>F565+F567+F569+F571+F573</f>
        <v>223299.22999999998</v>
      </c>
      <c r="G575" s="347">
        <f>F575/E575*100</f>
        <v>99.77624218051831</v>
      </c>
      <c r="H575" s="21"/>
      <c r="I575" s="102"/>
      <c r="J575" s="102"/>
      <c r="K575" s="53"/>
    </row>
    <row r="576" spans="1:11" s="345" customFormat="1" ht="21" customHeight="1" x14ac:dyDescent="0.25">
      <c r="A576" s="277"/>
      <c r="B576" s="83" t="s">
        <v>13</v>
      </c>
      <c r="C576" s="265"/>
      <c r="D576" s="265"/>
      <c r="E576" s="341">
        <f>E566+E568+E570+E572+E574</f>
        <v>223800</v>
      </c>
      <c r="F576" s="341">
        <f>F566+F568+F570+F572+F574</f>
        <v>223299.22999999998</v>
      </c>
      <c r="G576" s="342">
        <f>F576/E576*100</f>
        <v>99.77624218051831</v>
      </c>
      <c r="H576" s="343"/>
      <c r="I576" s="366"/>
      <c r="J576" s="366"/>
      <c r="K576" s="287"/>
    </row>
    <row r="577" spans="1:11" ht="17.25" customHeight="1" x14ac:dyDescent="0.25">
      <c r="A577" s="541" t="s">
        <v>99</v>
      </c>
      <c r="B577" s="541"/>
      <c r="C577" s="541"/>
      <c r="D577" s="541"/>
      <c r="E577" s="541"/>
      <c r="F577" s="541"/>
      <c r="G577" s="541"/>
      <c r="H577" s="541"/>
      <c r="I577" s="541"/>
      <c r="J577" s="541"/>
      <c r="K577" s="541"/>
    </row>
    <row r="578" spans="1:11" s="38" customFormat="1" ht="33" customHeight="1" x14ac:dyDescent="0.25">
      <c r="A578" s="10">
        <v>182</v>
      </c>
      <c r="B578" s="64" t="s">
        <v>100</v>
      </c>
      <c r="C578" s="19" t="s">
        <v>50</v>
      </c>
      <c r="D578" s="17" t="s">
        <v>16</v>
      </c>
      <c r="E578" s="339">
        <v>3800</v>
      </c>
      <c r="F578" s="339">
        <v>3800</v>
      </c>
      <c r="G578" s="340">
        <f t="shared" ref="G578:G579" si="24">F578/E578*100</f>
        <v>100</v>
      </c>
      <c r="H578" s="21">
        <v>100</v>
      </c>
      <c r="I578" s="102"/>
      <c r="J578" s="23" t="s">
        <v>351</v>
      </c>
      <c r="K578" s="53"/>
    </row>
    <row r="579" spans="1:11" s="345" customFormat="1" ht="17.25" customHeight="1" x14ac:dyDescent="0.25">
      <c r="A579" s="277"/>
      <c r="B579" s="83" t="s">
        <v>13</v>
      </c>
      <c r="C579" s="265"/>
      <c r="D579" s="265"/>
      <c r="E579" s="341">
        <v>3800</v>
      </c>
      <c r="F579" s="341">
        <v>3800</v>
      </c>
      <c r="G579" s="342">
        <f t="shared" si="24"/>
        <v>100</v>
      </c>
      <c r="H579" s="343"/>
      <c r="I579" s="366"/>
      <c r="J579" s="367"/>
      <c r="K579" s="287"/>
    </row>
    <row r="580" spans="1:11" s="38" customFormat="1" ht="17.25" customHeight="1" x14ac:dyDescent="0.25">
      <c r="A580" s="10"/>
      <c r="B580" s="84" t="s">
        <v>54</v>
      </c>
      <c r="C580" s="19"/>
      <c r="D580" s="19"/>
      <c r="E580" s="346">
        <f>E578</f>
        <v>3800</v>
      </c>
      <c r="F580" s="346">
        <f t="shared" ref="F580:G581" si="25">F578</f>
        <v>3800</v>
      </c>
      <c r="G580" s="347">
        <f t="shared" si="25"/>
        <v>100</v>
      </c>
      <c r="H580" s="21"/>
      <c r="I580" s="102"/>
      <c r="J580" s="106"/>
      <c r="K580" s="53"/>
    </row>
    <row r="581" spans="1:11" s="345" customFormat="1" ht="17.25" customHeight="1" x14ac:dyDescent="0.25">
      <c r="A581" s="277"/>
      <c r="B581" s="83" t="s">
        <v>13</v>
      </c>
      <c r="C581" s="265"/>
      <c r="D581" s="265"/>
      <c r="E581" s="341">
        <f>E579</f>
        <v>3800</v>
      </c>
      <c r="F581" s="341">
        <f>F579</f>
        <v>3800</v>
      </c>
      <c r="G581" s="342">
        <f t="shared" si="25"/>
        <v>100</v>
      </c>
      <c r="H581" s="343"/>
      <c r="I581" s="366"/>
      <c r="J581" s="367"/>
      <c r="K581" s="287"/>
    </row>
    <row r="582" spans="1:11" ht="18.75" customHeight="1" x14ac:dyDescent="0.25">
      <c r="A582" s="541" t="s">
        <v>101</v>
      </c>
      <c r="B582" s="541"/>
      <c r="C582" s="541"/>
      <c r="D582" s="541"/>
      <c r="E582" s="541"/>
      <c r="F582" s="541"/>
      <c r="G582" s="541"/>
      <c r="H582" s="541"/>
      <c r="I582" s="541"/>
      <c r="J582" s="541"/>
      <c r="K582" s="541"/>
    </row>
    <row r="583" spans="1:11" s="38" customFormat="1" ht="66" customHeight="1" x14ac:dyDescent="0.25">
      <c r="A583" s="10">
        <v>183</v>
      </c>
      <c r="B583" s="18" t="s">
        <v>102</v>
      </c>
      <c r="C583" s="17" t="s">
        <v>103</v>
      </c>
      <c r="D583" s="17" t="s">
        <v>16</v>
      </c>
      <c r="E583" s="33">
        <v>7462</v>
      </c>
      <c r="F583" s="33">
        <v>7462</v>
      </c>
      <c r="G583" s="30">
        <f>F583/E583*100</f>
        <v>100</v>
      </c>
      <c r="H583" s="21">
        <v>100</v>
      </c>
      <c r="I583" s="59"/>
      <c r="J583" s="23" t="s">
        <v>351</v>
      </c>
      <c r="K583" s="53"/>
    </row>
    <row r="584" spans="1:11" s="345" customFormat="1" ht="17.25" customHeight="1" x14ac:dyDescent="0.25">
      <c r="A584" s="277"/>
      <c r="B584" s="24" t="s">
        <v>13</v>
      </c>
      <c r="C584" s="22"/>
      <c r="D584" s="22"/>
      <c r="E584" s="35">
        <v>7462</v>
      </c>
      <c r="F584" s="35">
        <v>7462</v>
      </c>
      <c r="G584" s="269">
        <f t="shared" ref="G584" si="26">F584/E584*100</f>
        <v>100</v>
      </c>
      <c r="H584" s="25"/>
      <c r="I584" s="363"/>
      <c r="J584" s="266"/>
      <c r="K584" s="287"/>
    </row>
    <row r="585" spans="1:11" s="38" customFormat="1" ht="48" customHeight="1" x14ac:dyDescent="0.25">
      <c r="A585" s="10">
        <v>184</v>
      </c>
      <c r="B585" s="18" t="s">
        <v>104</v>
      </c>
      <c r="C585" s="17" t="s">
        <v>103</v>
      </c>
      <c r="D585" s="17" t="s">
        <v>16</v>
      </c>
      <c r="E585" s="33">
        <v>6649</v>
      </c>
      <c r="F585" s="33">
        <v>6649</v>
      </c>
      <c r="G585" s="30">
        <f>F585/E585*100</f>
        <v>100</v>
      </c>
      <c r="H585" s="21">
        <v>100</v>
      </c>
      <c r="I585" s="59"/>
      <c r="J585" s="23" t="s">
        <v>351</v>
      </c>
      <c r="K585" s="53"/>
    </row>
    <row r="586" spans="1:11" s="345" customFormat="1" ht="17.25" customHeight="1" x14ac:dyDescent="0.25">
      <c r="A586" s="277"/>
      <c r="B586" s="24" t="s">
        <v>13</v>
      </c>
      <c r="C586" s="22"/>
      <c r="D586" s="22"/>
      <c r="E586" s="35">
        <v>6649</v>
      </c>
      <c r="F586" s="35">
        <v>6649</v>
      </c>
      <c r="G586" s="269">
        <f>F586/E586*100</f>
        <v>100</v>
      </c>
      <c r="H586" s="25"/>
      <c r="I586" s="363"/>
      <c r="J586" s="368"/>
      <c r="K586" s="287"/>
    </row>
    <row r="587" spans="1:11" s="38" customFormat="1" ht="17.25" customHeight="1" x14ac:dyDescent="0.25">
      <c r="A587" s="10"/>
      <c r="B587" s="28" t="s">
        <v>54</v>
      </c>
      <c r="C587" s="17"/>
      <c r="D587" s="17"/>
      <c r="E587" s="34">
        <f>E583+E585</f>
        <v>14111</v>
      </c>
      <c r="F587" s="34">
        <f>F583+F585</f>
        <v>14111</v>
      </c>
      <c r="G587" s="43">
        <f>G585</f>
        <v>100</v>
      </c>
      <c r="H587" s="27"/>
      <c r="I587" s="59"/>
      <c r="J587" s="104"/>
      <c r="K587" s="53"/>
    </row>
    <row r="588" spans="1:11" s="345" customFormat="1" ht="17.25" customHeight="1" x14ac:dyDescent="0.25">
      <c r="A588" s="277"/>
      <c r="B588" s="83" t="s">
        <v>13</v>
      </c>
      <c r="C588" s="265"/>
      <c r="D588" s="265"/>
      <c r="E588" s="341">
        <f>E587</f>
        <v>14111</v>
      </c>
      <c r="F588" s="341">
        <f t="shared" ref="F588:G588" si="27">F587</f>
        <v>14111</v>
      </c>
      <c r="G588" s="342">
        <f t="shared" si="27"/>
        <v>100</v>
      </c>
      <c r="H588" s="343"/>
      <c r="I588" s="366"/>
      <c r="J588" s="367"/>
      <c r="K588" s="287"/>
    </row>
    <row r="589" spans="1:11" s="38" customFormat="1" ht="21.75" customHeight="1" x14ac:dyDescent="0.25">
      <c r="A589" s="541" t="s">
        <v>105</v>
      </c>
      <c r="B589" s="541"/>
      <c r="C589" s="541"/>
      <c r="D589" s="541"/>
      <c r="E589" s="541"/>
      <c r="F589" s="541"/>
      <c r="G589" s="541"/>
      <c r="H589" s="541"/>
      <c r="I589" s="541"/>
      <c r="J589" s="541"/>
      <c r="K589" s="541"/>
    </row>
    <row r="590" spans="1:11" s="38" customFormat="1" ht="50.25" customHeight="1" x14ac:dyDescent="0.25">
      <c r="A590" s="10">
        <v>185</v>
      </c>
      <c r="B590" s="64" t="s">
        <v>106</v>
      </c>
      <c r="C590" s="19" t="s">
        <v>48</v>
      </c>
      <c r="D590" s="17" t="s">
        <v>16</v>
      </c>
      <c r="E590" s="339">
        <v>23760</v>
      </c>
      <c r="F590" s="339">
        <v>23760</v>
      </c>
      <c r="G590" s="340">
        <f t="shared" ref="G590:G593" si="28">F590/E590*100</f>
        <v>100</v>
      </c>
      <c r="H590" s="21">
        <v>100</v>
      </c>
      <c r="I590" s="64"/>
      <c r="J590" s="23" t="s">
        <v>351</v>
      </c>
      <c r="K590" s="53"/>
    </row>
    <row r="591" spans="1:11" s="345" customFormat="1" ht="17.25" customHeight="1" x14ac:dyDescent="0.25">
      <c r="A591" s="277"/>
      <c r="B591" s="83" t="s">
        <v>13</v>
      </c>
      <c r="C591" s="265"/>
      <c r="D591" s="265"/>
      <c r="E591" s="341">
        <v>23760</v>
      </c>
      <c r="F591" s="341">
        <v>23760</v>
      </c>
      <c r="G591" s="342">
        <f t="shared" si="28"/>
        <v>100</v>
      </c>
      <c r="H591" s="343"/>
      <c r="I591" s="83"/>
      <c r="J591" s="83"/>
      <c r="K591" s="287"/>
    </row>
    <row r="592" spans="1:11" s="38" customFormat="1" ht="21.75" customHeight="1" x14ac:dyDescent="0.25">
      <c r="A592" s="10"/>
      <c r="B592" s="84" t="s">
        <v>54</v>
      </c>
      <c r="C592" s="19"/>
      <c r="D592" s="19"/>
      <c r="E592" s="346">
        <f>E590</f>
        <v>23760</v>
      </c>
      <c r="F592" s="346">
        <f>F590</f>
        <v>23760</v>
      </c>
      <c r="G592" s="347">
        <f t="shared" si="28"/>
        <v>100</v>
      </c>
      <c r="H592" s="21"/>
      <c r="I592" s="64"/>
      <c r="J592" s="64"/>
      <c r="K592" s="53"/>
    </row>
    <row r="593" spans="1:11" s="345" customFormat="1" ht="17.25" customHeight="1" x14ac:dyDescent="0.25">
      <c r="A593" s="277"/>
      <c r="B593" s="83" t="s">
        <v>13</v>
      </c>
      <c r="C593" s="265"/>
      <c r="D593" s="265"/>
      <c r="E593" s="341">
        <f>E592</f>
        <v>23760</v>
      </c>
      <c r="F593" s="341">
        <f>F592</f>
        <v>23760</v>
      </c>
      <c r="G593" s="342">
        <f t="shared" si="28"/>
        <v>100</v>
      </c>
      <c r="H593" s="343"/>
      <c r="I593" s="83"/>
      <c r="J593" s="83"/>
      <c r="K593" s="287"/>
    </row>
    <row r="594" spans="1:11" ht="17.25" customHeight="1" x14ac:dyDescent="0.25">
      <c r="A594" s="541" t="s">
        <v>107</v>
      </c>
      <c r="B594" s="541"/>
      <c r="C594" s="541"/>
      <c r="D594" s="541"/>
      <c r="E594" s="541"/>
      <c r="F594" s="541"/>
      <c r="G594" s="541"/>
      <c r="H594" s="541"/>
      <c r="I594" s="541"/>
      <c r="J594" s="541"/>
      <c r="K594" s="541"/>
    </row>
    <row r="595" spans="1:11" s="38" customFormat="1" ht="54" customHeight="1" x14ac:dyDescent="0.25">
      <c r="A595" s="10">
        <v>186</v>
      </c>
      <c r="B595" s="64" t="s">
        <v>108</v>
      </c>
      <c r="C595" s="19" t="s">
        <v>50</v>
      </c>
      <c r="D595" s="17" t="s">
        <v>16</v>
      </c>
      <c r="E595" s="339">
        <f>E596+E597</f>
        <v>7800</v>
      </c>
      <c r="F595" s="339">
        <f>F596+F597</f>
        <v>7800</v>
      </c>
      <c r="G595" s="340">
        <f t="shared" ref="G595:G615" si="29">F595/E595*100</f>
        <v>100</v>
      </c>
      <c r="H595" s="21">
        <v>100</v>
      </c>
      <c r="I595" s="64"/>
      <c r="J595" s="64" t="s">
        <v>351</v>
      </c>
      <c r="K595" s="53"/>
    </row>
    <row r="596" spans="1:11" s="345" customFormat="1" ht="17.25" customHeight="1" x14ac:dyDescent="0.25">
      <c r="A596" s="277"/>
      <c r="B596" s="83" t="s">
        <v>13</v>
      </c>
      <c r="C596" s="265"/>
      <c r="D596" s="265"/>
      <c r="E596" s="341">
        <v>5300</v>
      </c>
      <c r="F596" s="341">
        <v>5300</v>
      </c>
      <c r="G596" s="342">
        <f t="shared" si="29"/>
        <v>100</v>
      </c>
      <c r="H596" s="343"/>
      <c r="I596" s="83"/>
      <c r="J596" s="83"/>
      <c r="K596" s="287"/>
    </row>
    <row r="597" spans="1:11" s="345" customFormat="1" ht="33.75" customHeight="1" x14ac:dyDescent="0.25">
      <c r="A597" s="277"/>
      <c r="B597" s="83" t="s">
        <v>139</v>
      </c>
      <c r="C597" s="265"/>
      <c r="D597" s="265"/>
      <c r="E597" s="341">
        <v>2500</v>
      </c>
      <c r="F597" s="341">
        <v>2500</v>
      </c>
      <c r="G597" s="342">
        <f t="shared" si="29"/>
        <v>100</v>
      </c>
      <c r="H597" s="343"/>
      <c r="I597" s="83"/>
      <c r="J597" s="83"/>
      <c r="K597" s="287"/>
    </row>
    <row r="598" spans="1:11" s="38" customFormat="1" ht="54" customHeight="1" x14ac:dyDescent="0.25">
      <c r="A598" s="10">
        <v>187</v>
      </c>
      <c r="B598" s="64" t="s">
        <v>109</v>
      </c>
      <c r="C598" s="19" t="s">
        <v>50</v>
      </c>
      <c r="D598" s="17" t="s">
        <v>16</v>
      </c>
      <c r="E598" s="339">
        <f>E599+E600</f>
        <v>7500</v>
      </c>
      <c r="F598" s="339">
        <f>F599+F600</f>
        <v>7500</v>
      </c>
      <c r="G598" s="340">
        <f t="shared" si="29"/>
        <v>100</v>
      </c>
      <c r="H598" s="21">
        <v>100</v>
      </c>
      <c r="I598" s="64"/>
      <c r="J598" s="64" t="s">
        <v>351</v>
      </c>
      <c r="K598" s="53"/>
    </row>
    <row r="599" spans="1:11" s="345" customFormat="1" ht="17.25" customHeight="1" x14ac:dyDescent="0.25">
      <c r="A599" s="277"/>
      <c r="B599" s="83" t="s">
        <v>13</v>
      </c>
      <c r="C599" s="265"/>
      <c r="D599" s="265"/>
      <c r="E599" s="341">
        <v>5000</v>
      </c>
      <c r="F599" s="341">
        <v>5000</v>
      </c>
      <c r="G599" s="342">
        <f t="shared" si="29"/>
        <v>100</v>
      </c>
      <c r="H599" s="343"/>
      <c r="I599" s="83"/>
      <c r="J599" s="83"/>
      <c r="K599" s="287"/>
    </row>
    <row r="600" spans="1:11" s="345" customFormat="1" ht="32.25" customHeight="1" x14ac:dyDescent="0.25">
      <c r="A600" s="277"/>
      <c r="B600" s="83" t="s">
        <v>139</v>
      </c>
      <c r="C600" s="265"/>
      <c r="D600" s="265"/>
      <c r="E600" s="341">
        <v>2500</v>
      </c>
      <c r="F600" s="341">
        <v>2500</v>
      </c>
      <c r="G600" s="342">
        <f t="shared" si="29"/>
        <v>100</v>
      </c>
      <c r="H600" s="343"/>
      <c r="I600" s="83"/>
      <c r="J600" s="83"/>
      <c r="K600" s="287"/>
    </row>
    <row r="601" spans="1:11" s="38" customFormat="1" ht="97.5" customHeight="1" x14ac:dyDescent="0.25">
      <c r="A601" s="10">
        <v>188</v>
      </c>
      <c r="B601" s="64" t="s">
        <v>110</v>
      </c>
      <c r="C601" s="19" t="s">
        <v>50</v>
      </c>
      <c r="D601" s="17" t="s">
        <v>16</v>
      </c>
      <c r="E601" s="339">
        <f>E602+E603</f>
        <v>11500</v>
      </c>
      <c r="F601" s="339">
        <f>F602+F603</f>
        <v>11500</v>
      </c>
      <c r="G601" s="340">
        <f t="shared" si="29"/>
        <v>100</v>
      </c>
      <c r="H601" s="21">
        <v>100</v>
      </c>
      <c r="I601" s="64"/>
      <c r="J601" s="64" t="s">
        <v>351</v>
      </c>
      <c r="K601" s="53"/>
    </row>
    <row r="602" spans="1:11" s="345" customFormat="1" ht="17.25" customHeight="1" x14ac:dyDescent="0.25">
      <c r="A602" s="277"/>
      <c r="B602" s="83" t="s">
        <v>13</v>
      </c>
      <c r="C602" s="265"/>
      <c r="D602" s="265"/>
      <c r="E602" s="341">
        <v>7000</v>
      </c>
      <c r="F602" s="341">
        <v>7000</v>
      </c>
      <c r="G602" s="342">
        <f t="shared" si="29"/>
        <v>100</v>
      </c>
      <c r="H602" s="343"/>
      <c r="I602" s="83"/>
      <c r="J602" s="83"/>
      <c r="K602" s="287"/>
    </row>
    <row r="603" spans="1:11" s="345" customFormat="1" ht="31.5" customHeight="1" x14ac:dyDescent="0.25">
      <c r="A603" s="277"/>
      <c r="B603" s="83" t="s">
        <v>139</v>
      </c>
      <c r="C603" s="265"/>
      <c r="D603" s="265"/>
      <c r="E603" s="341">
        <v>4500</v>
      </c>
      <c r="F603" s="341">
        <v>4500</v>
      </c>
      <c r="G603" s="342">
        <f t="shared" si="29"/>
        <v>100</v>
      </c>
      <c r="H603" s="343"/>
      <c r="I603" s="83"/>
      <c r="J603" s="83"/>
      <c r="K603" s="287"/>
    </row>
    <row r="604" spans="1:11" s="38" customFormat="1" ht="51.75" customHeight="1" x14ac:dyDescent="0.25">
      <c r="A604" s="10">
        <v>189</v>
      </c>
      <c r="B604" s="64" t="s">
        <v>111</v>
      </c>
      <c r="C604" s="19" t="s">
        <v>50</v>
      </c>
      <c r="D604" s="17" t="s">
        <v>16</v>
      </c>
      <c r="E604" s="339">
        <v>4700</v>
      </c>
      <c r="F604" s="339">
        <v>4700</v>
      </c>
      <c r="G604" s="340">
        <f t="shared" si="29"/>
        <v>100</v>
      </c>
      <c r="H604" s="21">
        <v>100</v>
      </c>
      <c r="I604" s="64"/>
      <c r="J604" s="64" t="s">
        <v>351</v>
      </c>
      <c r="K604" s="53"/>
    </row>
    <row r="605" spans="1:11" s="345" customFormat="1" ht="17.25" customHeight="1" x14ac:dyDescent="0.25">
      <c r="A605" s="277"/>
      <c r="B605" s="83" t="s">
        <v>13</v>
      </c>
      <c r="C605" s="265"/>
      <c r="D605" s="265"/>
      <c r="E605" s="341">
        <v>4700</v>
      </c>
      <c r="F605" s="341">
        <v>4700</v>
      </c>
      <c r="G605" s="342">
        <f t="shared" si="29"/>
        <v>100</v>
      </c>
      <c r="H605" s="343"/>
      <c r="I605" s="83"/>
      <c r="J605" s="83"/>
      <c r="K605" s="287"/>
    </row>
    <row r="606" spans="1:11" s="38" customFormat="1" ht="98.25" customHeight="1" x14ac:dyDescent="0.25">
      <c r="A606" s="10">
        <v>190</v>
      </c>
      <c r="B606" s="64" t="s">
        <v>112</v>
      </c>
      <c r="C606" s="19" t="s">
        <v>50</v>
      </c>
      <c r="D606" s="17" t="s">
        <v>16</v>
      </c>
      <c r="E606" s="339">
        <f>E607+E608</f>
        <v>10300</v>
      </c>
      <c r="F606" s="339">
        <f>F607+F608</f>
        <v>10300</v>
      </c>
      <c r="G606" s="340">
        <f t="shared" si="29"/>
        <v>100</v>
      </c>
      <c r="H606" s="21">
        <v>100</v>
      </c>
      <c r="I606" s="64"/>
      <c r="J606" s="64" t="s">
        <v>351</v>
      </c>
      <c r="K606" s="53"/>
    </row>
    <row r="607" spans="1:11" s="345" customFormat="1" ht="17.25" customHeight="1" x14ac:dyDescent="0.25">
      <c r="A607" s="277"/>
      <c r="B607" s="83" t="s">
        <v>13</v>
      </c>
      <c r="C607" s="265"/>
      <c r="D607" s="265"/>
      <c r="E607" s="341">
        <v>5800</v>
      </c>
      <c r="F607" s="341">
        <v>5800</v>
      </c>
      <c r="G607" s="342">
        <f t="shared" si="29"/>
        <v>100</v>
      </c>
      <c r="H607" s="343"/>
      <c r="I607" s="83"/>
      <c r="J607" s="83"/>
      <c r="K607" s="287"/>
    </row>
    <row r="608" spans="1:11" s="345" customFormat="1" ht="33" customHeight="1" x14ac:dyDescent="0.25">
      <c r="A608" s="277"/>
      <c r="B608" s="83" t="s">
        <v>139</v>
      </c>
      <c r="C608" s="265"/>
      <c r="D608" s="265"/>
      <c r="E608" s="341">
        <v>4500</v>
      </c>
      <c r="F608" s="341">
        <v>4500</v>
      </c>
      <c r="G608" s="342">
        <f t="shared" si="29"/>
        <v>100</v>
      </c>
      <c r="H608" s="343"/>
      <c r="I608" s="83"/>
      <c r="J608" s="83"/>
      <c r="K608" s="287"/>
    </row>
    <row r="609" spans="1:11" s="38" customFormat="1" ht="98.25" customHeight="1" x14ac:dyDescent="0.25">
      <c r="A609" s="10">
        <v>191</v>
      </c>
      <c r="B609" s="64" t="s">
        <v>113</v>
      </c>
      <c r="C609" s="19" t="s">
        <v>50</v>
      </c>
      <c r="D609" s="17" t="s">
        <v>16</v>
      </c>
      <c r="E609" s="339">
        <v>7300</v>
      </c>
      <c r="F609" s="339">
        <v>7300</v>
      </c>
      <c r="G609" s="340">
        <f t="shared" si="29"/>
        <v>100</v>
      </c>
      <c r="H609" s="21">
        <v>100</v>
      </c>
      <c r="I609" s="64"/>
      <c r="J609" s="64" t="s">
        <v>351</v>
      </c>
      <c r="K609" s="53"/>
    </row>
    <row r="610" spans="1:11" s="345" customFormat="1" ht="17.25" customHeight="1" x14ac:dyDescent="0.25">
      <c r="A610" s="277"/>
      <c r="B610" s="83" t="s">
        <v>13</v>
      </c>
      <c r="C610" s="265"/>
      <c r="D610" s="265"/>
      <c r="E610" s="341">
        <v>7300</v>
      </c>
      <c r="F610" s="341">
        <v>7300</v>
      </c>
      <c r="G610" s="342">
        <f t="shared" si="29"/>
        <v>100</v>
      </c>
      <c r="H610" s="343"/>
      <c r="I610" s="83"/>
      <c r="J610" s="83"/>
      <c r="K610" s="287"/>
    </row>
    <row r="611" spans="1:11" s="345" customFormat="1" ht="34.5" customHeight="1" x14ac:dyDescent="0.25">
      <c r="A611" s="10">
        <v>192</v>
      </c>
      <c r="B611" s="64" t="s">
        <v>301</v>
      </c>
      <c r="C611" s="19" t="s">
        <v>50</v>
      </c>
      <c r="D611" s="17" t="s">
        <v>290</v>
      </c>
      <c r="E611" s="339">
        <v>5000</v>
      </c>
      <c r="F611" s="339">
        <v>5000</v>
      </c>
      <c r="G611" s="340">
        <f t="shared" si="29"/>
        <v>100</v>
      </c>
      <c r="H611" s="21">
        <v>100</v>
      </c>
      <c r="I611" s="83"/>
      <c r="J611" s="64" t="s">
        <v>417</v>
      </c>
      <c r="K611" s="287"/>
    </row>
    <row r="612" spans="1:11" s="345" customFormat="1" ht="39.75" customHeight="1" x14ac:dyDescent="0.25">
      <c r="A612" s="277"/>
      <c r="B612" s="83" t="s">
        <v>139</v>
      </c>
      <c r="C612" s="265"/>
      <c r="D612" s="265"/>
      <c r="E612" s="341">
        <v>5000</v>
      </c>
      <c r="F612" s="341">
        <v>5000</v>
      </c>
      <c r="G612" s="342">
        <f t="shared" si="29"/>
        <v>100</v>
      </c>
      <c r="H612" s="343"/>
      <c r="I612" s="83"/>
      <c r="J612" s="83"/>
      <c r="K612" s="287"/>
    </row>
    <row r="613" spans="1:11" s="38" customFormat="1" ht="17.25" customHeight="1" x14ac:dyDescent="0.25">
      <c r="A613" s="10"/>
      <c r="B613" s="84" t="s">
        <v>54</v>
      </c>
      <c r="C613" s="19"/>
      <c r="D613" s="19"/>
      <c r="E613" s="346">
        <f>E614+E615</f>
        <v>54100</v>
      </c>
      <c r="F613" s="346">
        <f>F614+F615</f>
        <v>54100</v>
      </c>
      <c r="G613" s="347">
        <f t="shared" si="29"/>
        <v>100</v>
      </c>
      <c r="H613" s="21"/>
      <c r="I613" s="64"/>
      <c r="J613" s="64"/>
      <c r="K613" s="53"/>
    </row>
    <row r="614" spans="1:11" s="345" customFormat="1" ht="17.25" customHeight="1" x14ac:dyDescent="0.25">
      <c r="A614" s="277"/>
      <c r="B614" s="83" t="s">
        <v>13</v>
      </c>
      <c r="C614" s="265"/>
      <c r="D614" s="265"/>
      <c r="E614" s="341">
        <f>E596+E599+E602+E605+E607+E610</f>
        <v>35100</v>
      </c>
      <c r="F614" s="341">
        <f>F596+F599+F602+F605+F607+F610</f>
        <v>35100</v>
      </c>
      <c r="G614" s="342">
        <f t="shared" si="29"/>
        <v>100</v>
      </c>
      <c r="H614" s="343"/>
      <c r="I614" s="83"/>
      <c r="J614" s="83"/>
      <c r="K614" s="287"/>
    </row>
    <row r="615" spans="1:11" s="345" customFormat="1" ht="31.5" customHeight="1" x14ac:dyDescent="0.25">
      <c r="A615" s="277"/>
      <c r="B615" s="83" t="s">
        <v>139</v>
      </c>
      <c r="C615" s="265"/>
      <c r="D615" s="265"/>
      <c r="E615" s="341">
        <f>E597+E600+E603+E608+E612</f>
        <v>19000</v>
      </c>
      <c r="F615" s="341">
        <f>F597+F600+F603+F608+F612</f>
        <v>19000</v>
      </c>
      <c r="G615" s="342">
        <f t="shared" si="29"/>
        <v>100</v>
      </c>
      <c r="H615" s="343"/>
      <c r="I615" s="83"/>
      <c r="J615" s="83"/>
      <c r="K615" s="287"/>
    </row>
    <row r="616" spans="1:11" ht="17.25" customHeight="1" x14ac:dyDescent="0.25">
      <c r="A616" s="10"/>
      <c r="B616" s="24"/>
      <c r="C616" s="12"/>
      <c r="D616" s="12"/>
      <c r="E616" s="20"/>
      <c r="F616" s="20"/>
      <c r="G616" s="20"/>
      <c r="H616" s="13"/>
      <c r="I616" s="14"/>
      <c r="J616" s="14"/>
      <c r="K616" s="14"/>
    </row>
    <row r="617" spans="1:11" ht="17.25" customHeight="1" x14ac:dyDescent="0.25">
      <c r="A617" s="541" t="s">
        <v>114</v>
      </c>
      <c r="B617" s="541"/>
      <c r="C617" s="541"/>
      <c r="D617" s="541"/>
      <c r="E617" s="541"/>
      <c r="F617" s="541"/>
      <c r="G617" s="541"/>
      <c r="H617" s="541"/>
      <c r="I617" s="541"/>
      <c r="J617" s="541"/>
      <c r="K617" s="541"/>
    </row>
    <row r="618" spans="1:11" s="38" customFormat="1" ht="59.25" customHeight="1" x14ac:dyDescent="0.25">
      <c r="A618" s="17">
        <v>193</v>
      </c>
      <c r="B618" s="64" t="s">
        <v>115</v>
      </c>
      <c r="C618" s="19" t="s">
        <v>50</v>
      </c>
      <c r="D618" s="17" t="s">
        <v>16</v>
      </c>
      <c r="E618" s="339">
        <v>2500</v>
      </c>
      <c r="F618" s="339">
        <v>2500</v>
      </c>
      <c r="G618" s="340">
        <f>F618/E618*100</f>
        <v>100</v>
      </c>
      <c r="H618" s="21">
        <v>100</v>
      </c>
      <c r="I618" s="108"/>
      <c r="J618" s="64" t="s">
        <v>351</v>
      </c>
      <c r="K618" s="17"/>
    </row>
    <row r="619" spans="1:11" s="345" customFormat="1" ht="17.25" customHeight="1" x14ac:dyDescent="0.25">
      <c r="A619" s="22"/>
      <c r="B619" s="83" t="s">
        <v>13</v>
      </c>
      <c r="C619" s="265"/>
      <c r="D619" s="265"/>
      <c r="E619" s="341">
        <v>2500</v>
      </c>
      <c r="F619" s="341">
        <v>2500</v>
      </c>
      <c r="G619" s="342">
        <f t="shared" ref="G619:G633" si="30">F619/E619*100</f>
        <v>100</v>
      </c>
      <c r="H619" s="343"/>
      <c r="I619" s="369"/>
      <c r="J619" s="265"/>
      <c r="K619" s="22"/>
    </row>
    <row r="620" spans="1:11" s="38" customFormat="1" ht="55.5" customHeight="1" x14ac:dyDescent="0.25">
      <c r="A620" s="17">
        <v>194</v>
      </c>
      <c r="B620" s="64" t="s">
        <v>116</v>
      </c>
      <c r="C620" s="19" t="s">
        <v>50</v>
      </c>
      <c r="D620" s="17" t="s">
        <v>16</v>
      </c>
      <c r="E620" s="339">
        <v>2500</v>
      </c>
      <c r="F620" s="339">
        <v>2500</v>
      </c>
      <c r="G620" s="340">
        <f t="shared" si="30"/>
        <v>100</v>
      </c>
      <c r="H620" s="21">
        <v>100</v>
      </c>
      <c r="I620" s="108"/>
      <c r="J620" s="64" t="s">
        <v>351</v>
      </c>
      <c r="K620" s="17"/>
    </row>
    <row r="621" spans="1:11" s="345" customFormat="1" ht="23.25" customHeight="1" x14ac:dyDescent="0.25">
      <c r="A621" s="22"/>
      <c r="B621" s="83" t="s">
        <v>13</v>
      </c>
      <c r="C621" s="265"/>
      <c r="D621" s="265"/>
      <c r="E621" s="341">
        <v>2500</v>
      </c>
      <c r="F621" s="341">
        <v>2500</v>
      </c>
      <c r="G621" s="342">
        <f t="shared" si="30"/>
        <v>100</v>
      </c>
      <c r="H621" s="343"/>
      <c r="I621" s="369"/>
      <c r="J621" s="265"/>
      <c r="K621" s="22"/>
    </row>
    <row r="622" spans="1:11" s="38" customFormat="1" ht="64.5" customHeight="1" x14ac:dyDescent="0.25">
      <c r="A622" s="17">
        <v>195</v>
      </c>
      <c r="B622" s="64" t="s">
        <v>117</v>
      </c>
      <c r="C622" s="19" t="s">
        <v>50</v>
      </c>
      <c r="D622" s="17" t="s">
        <v>16</v>
      </c>
      <c r="E622" s="339">
        <v>6000</v>
      </c>
      <c r="F622" s="339">
        <v>6000</v>
      </c>
      <c r="G622" s="340">
        <f t="shared" si="30"/>
        <v>100</v>
      </c>
      <c r="H622" s="21">
        <v>100</v>
      </c>
      <c r="I622" s="108"/>
      <c r="J622" s="64" t="s">
        <v>351</v>
      </c>
      <c r="K622" s="17"/>
    </row>
    <row r="623" spans="1:11" s="345" customFormat="1" ht="17.25" customHeight="1" x14ac:dyDescent="0.25">
      <c r="A623" s="277"/>
      <c r="B623" s="83" t="s">
        <v>13</v>
      </c>
      <c r="C623" s="265"/>
      <c r="D623" s="265"/>
      <c r="E623" s="341">
        <v>6000</v>
      </c>
      <c r="F623" s="341">
        <v>6000</v>
      </c>
      <c r="G623" s="342">
        <f t="shared" si="30"/>
        <v>100</v>
      </c>
      <c r="H623" s="343"/>
      <c r="I623" s="369"/>
      <c r="J623" s="265"/>
      <c r="K623" s="287"/>
    </row>
    <row r="624" spans="1:11" s="38" customFormat="1" ht="85.5" customHeight="1" x14ac:dyDescent="0.25">
      <c r="A624" s="10">
        <v>196</v>
      </c>
      <c r="B624" s="64" t="s">
        <v>118</v>
      </c>
      <c r="C624" s="19" t="s">
        <v>50</v>
      </c>
      <c r="D624" s="17" t="s">
        <v>16</v>
      </c>
      <c r="E624" s="339">
        <v>3200</v>
      </c>
      <c r="F624" s="339">
        <v>3200</v>
      </c>
      <c r="G624" s="340">
        <f t="shared" si="30"/>
        <v>100</v>
      </c>
      <c r="H624" s="21">
        <v>100</v>
      </c>
      <c r="I624" s="108"/>
      <c r="J624" s="64" t="s">
        <v>351</v>
      </c>
      <c r="K624" s="53"/>
    </row>
    <row r="625" spans="1:11" s="345" customFormat="1" ht="17.25" customHeight="1" x14ac:dyDescent="0.25">
      <c r="A625" s="277"/>
      <c r="B625" s="83" t="s">
        <v>13</v>
      </c>
      <c r="C625" s="265"/>
      <c r="D625" s="265"/>
      <c r="E625" s="341">
        <v>3200</v>
      </c>
      <c r="F625" s="341">
        <v>3200</v>
      </c>
      <c r="G625" s="342">
        <f t="shared" si="30"/>
        <v>100</v>
      </c>
      <c r="H625" s="343"/>
      <c r="I625" s="369"/>
      <c r="J625" s="265"/>
      <c r="K625" s="287"/>
    </row>
    <row r="626" spans="1:11" s="38" customFormat="1" ht="49.5" customHeight="1" x14ac:dyDescent="0.25">
      <c r="A626" s="10">
        <v>197</v>
      </c>
      <c r="B626" s="64" t="s">
        <v>119</v>
      </c>
      <c r="C626" s="19" t="s">
        <v>50</v>
      </c>
      <c r="D626" s="17" t="s">
        <v>16</v>
      </c>
      <c r="E626" s="339">
        <v>3200</v>
      </c>
      <c r="F626" s="339">
        <v>3200</v>
      </c>
      <c r="G626" s="340">
        <f t="shared" si="30"/>
        <v>100</v>
      </c>
      <c r="H626" s="21">
        <v>100</v>
      </c>
      <c r="I626" s="108"/>
      <c r="J626" s="64" t="s">
        <v>351</v>
      </c>
      <c r="K626" s="53"/>
    </row>
    <row r="627" spans="1:11" s="345" customFormat="1" ht="17.25" customHeight="1" x14ac:dyDescent="0.25">
      <c r="A627" s="277"/>
      <c r="B627" s="83" t="s">
        <v>13</v>
      </c>
      <c r="C627" s="265"/>
      <c r="D627" s="265"/>
      <c r="E627" s="341">
        <v>3200</v>
      </c>
      <c r="F627" s="341">
        <v>3200</v>
      </c>
      <c r="G627" s="342">
        <f t="shared" si="30"/>
        <v>100</v>
      </c>
      <c r="H627" s="343"/>
      <c r="I627" s="369"/>
      <c r="J627" s="83"/>
      <c r="K627" s="287"/>
    </row>
    <row r="628" spans="1:11" s="38" customFormat="1" ht="64.5" customHeight="1" x14ac:dyDescent="0.25">
      <c r="A628" s="10">
        <v>198</v>
      </c>
      <c r="B628" s="64" t="s">
        <v>120</v>
      </c>
      <c r="C628" s="19" t="s">
        <v>50</v>
      </c>
      <c r="D628" s="17" t="s">
        <v>16</v>
      </c>
      <c r="E628" s="339">
        <v>2500</v>
      </c>
      <c r="F628" s="339">
        <v>2500</v>
      </c>
      <c r="G628" s="340">
        <f t="shared" si="30"/>
        <v>100</v>
      </c>
      <c r="H628" s="21">
        <v>100</v>
      </c>
      <c r="I628" s="108"/>
      <c r="J628" s="64" t="s">
        <v>351</v>
      </c>
      <c r="K628" s="53"/>
    </row>
    <row r="629" spans="1:11" s="345" customFormat="1" ht="17.25" customHeight="1" x14ac:dyDescent="0.25">
      <c r="A629" s="277"/>
      <c r="B629" s="83" t="s">
        <v>13</v>
      </c>
      <c r="C629" s="265"/>
      <c r="D629" s="265"/>
      <c r="E629" s="341">
        <v>2500</v>
      </c>
      <c r="F629" s="341">
        <v>2500</v>
      </c>
      <c r="G629" s="342">
        <f t="shared" si="30"/>
        <v>100</v>
      </c>
      <c r="H629" s="343"/>
      <c r="I629" s="369"/>
      <c r="J629" s="369"/>
      <c r="K629" s="287"/>
    </row>
    <row r="630" spans="1:11" s="345" customFormat="1" ht="35.25" customHeight="1" x14ac:dyDescent="0.25">
      <c r="A630" s="10">
        <v>199</v>
      </c>
      <c r="B630" s="64" t="s">
        <v>302</v>
      </c>
      <c r="C630" s="19" t="s">
        <v>50</v>
      </c>
      <c r="D630" s="17" t="s">
        <v>290</v>
      </c>
      <c r="E630" s="339">
        <v>4200</v>
      </c>
      <c r="F630" s="339">
        <v>4200</v>
      </c>
      <c r="G630" s="340">
        <f t="shared" si="30"/>
        <v>100</v>
      </c>
      <c r="H630" s="21">
        <v>100</v>
      </c>
      <c r="I630" s="369"/>
      <c r="J630" s="64" t="s">
        <v>417</v>
      </c>
      <c r="K630" s="287"/>
    </row>
    <row r="631" spans="1:11" s="345" customFormat="1" ht="27.75" customHeight="1" x14ac:dyDescent="0.25">
      <c r="A631" s="277"/>
      <c r="B631" s="83" t="s">
        <v>13</v>
      </c>
      <c r="C631" s="265"/>
      <c r="D631" s="265"/>
      <c r="E631" s="341">
        <v>4200</v>
      </c>
      <c r="F631" s="341">
        <v>4200</v>
      </c>
      <c r="G631" s="342">
        <f t="shared" si="30"/>
        <v>100</v>
      </c>
      <c r="H631" s="343"/>
      <c r="I631" s="369"/>
      <c r="J631" s="369"/>
      <c r="K631" s="287"/>
    </row>
    <row r="632" spans="1:11" s="38" customFormat="1" ht="17.25" customHeight="1" x14ac:dyDescent="0.25">
      <c r="A632" s="10"/>
      <c r="B632" s="84" t="s">
        <v>54</v>
      </c>
      <c r="C632" s="19"/>
      <c r="D632" s="19"/>
      <c r="E632" s="346">
        <f>E618+E620+E622+E624+E626+E628+E630</f>
        <v>24100</v>
      </c>
      <c r="F632" s="346">
        <f>F618+F620+F622+F624+F626+F628+F630</f>
        <v>24100</v>
      </c>
      <c r="G632" s="347">
        <f t="shared" si="30"/>
        <v>100</v>
      </c>
      <c r="H632" s="21"/>
      <c r="I632" s="108"/>
      <c r="J632" s="108"/>
      <c r="K632" s="53"/>
    </row>
    <row r="633" spans="1:11" s="345" customFormat="1" ht="24.75" customHeight="1" x14ac:dyDescent="0.25">
      <c r="A633" s="277"/>
      <c r="B633" s="83" t="s">
        <v>13</v>
      </c>
      <c r="C633" s="265"/>
      <c r="D633" s="265"/>
      <c r="E633" s="341">
        <f>E619+E621+E623+E625+E627+E629+E631</f>
        <v>24100</v>
      </c>
      <c r="F633" s="341">
        <f>F619+F621+F623+F625+F627+F629+F631</f>
        <v>24100</v>
      </c>
      <c r="G633" s="342">
        <f t="shared" si="30"/>
        <v>100</v>
      </c>
      <c r="H633" s="343"/>
      <c r="I633" s="369"/>
      <c r="J633" s="369"/>
      <c r="K633" s="287"/>
    </row>
    <row r="634" spans="1:11" ht="26.25" customHeight="1" x14ac:dyDescent="0.25">
      <c r="A634" s="541" t="s">
        <v>121</v>
      </c>
      <c r="B634" s="541"/>
      <c r="C634" s="541"/>
      <c r="D634" s="541"/>
      <c r="E634" s="541"/>
      <c r="F634" s="541"/>
      <c r="G634" s="541"/>
      <c r="H634" s="541"/>
      <c r="I634" s="541"/>
      <c r="J634" s="541"/>
      <c r="K634" s="541"/>
    </row>
    <row r="635" spans="1:11" s="38" customFormat="1" ht="190.5" customHeight="1" x14ac:dyDescent="0.25">
      <c r="A635" s="10">
        <v>200</v>
      </c>
      <c r="B635" s="64" t="s">
        <v>122</v>
      </c>
      <c r="C635" s="19" t="s">
        <v>50</v>
      </c>
      <c r="D635" s="17" t="s">
        <v>16</v>
      </c>
      <c r="E635" s="339">
        <v>15500</v>
      </c>
      <c r="F635" s="339">
        <v>15500</v>
      </c>
      <c r="G635" s="340">
        <f>F635/E635*100</f>
        <v>100</v>
      </c>
      <c r="H635" s="21">
        <v>100</v>
      </c>
      <c r="I635" s="108"/>
      <c r="J635" s="64" t="s">
        <v>351</v>
      </c>
      <c r="K635" s="53"/>
    </row>
    <row r="636" spans="1:11" s="345" customFormat="1" ht="17.25" customHeight="1" x14ac:dyDescent="0.25">
      <c r="A636" s="277"/>
      <c r="B636" s="83" t="s">
        <v>13</v>
      </c>
      <c r="C636" s="265"/>
      <c r="D636" s="265"/>
      <c r="E636" s="341">
        <v>15500</v>
      </c>
      <c r="F636" s="341">
        <v>15500</v>
      </c>
      <c r="G636" s="342">
        <f>F636/E636*100</f>
        <v>100</v>
      </c>
      <c r="H636" s="370"/>
      <c r="I636" s="369"/>
      <c r="J636" s="369"/>
      <c r="K636" s="287"/>
    </row>
    <row r="637" spans="1:11" s="38" customFormat="1" ht="17.25" customHeight="1" x14ac:dyDescent="0.25">
      <c r="A637" s="10"/>
      <c r="B637" s="84" t="s">
        <v>54</v>
      </c>
      <c r="C637" s="19"/>
      <c r="D637" s="19"/>
      <c r="E637" s="346">
        <f>E635</f>
        <v>15500</v>
      </c>
      <c r="F637" s="346">
        <f>F635</f>
        <v>15500</v>
      </c>
      <c r="G637" s="347">
        <f t="shared" ref="G637:G638" si="31">F637/E637*100</f>
        <v>100</v>
      </c>
      <c r="H637" s="109"/>
      <c r="I637" s="108"/>
      <c r="J637" s="108"/>
      <c r="K637" s="53"/>
    </row>
    <row r="638" spans="1:11" s="345" customFormat="1" ht="17.25" customHeight="1" x14ac:dyDescent="0.25">
      <c r="A638" s="277"/>
      <c r="B638" s="83" t="s">
        <v>13</v>
      </c>
      <c r="C638" s="265"/>
      <c r="D638" s="265"/>
      <c r="E638" s="341">
        <f>E636</f>
        <v>15500</v>
      </c>
      <c r="F638" s="341">
        <f>F636</f>
        <v>15500</v>
      </c>
      <c r="G638" s="365">
        <f t="shared" si="31"/>
        <v>100</v>
      </c>
      <c r="H638" s="370"/>
      <c r="I638" s="369"/>
      <c r="J638" s="369"/>
      <c r="K638" s="287"/>
    </row>
    <row r="639" spans="1:11" ht="17.25" customHeight="1" x14ac:dyDescent="0.25">
      <c r="A639" s="541" t="s">
        <v>123</v>
      </c>
      <c r="B639" s="541"/>
      <c r="C639" s="541"/>
      <c r="D639" s="541"/>
      <c r="E639" s="541"/>
      <c r="F639" s="541"/>
      <c r="G639" s="541"/>
      <c r="H639" s="541"/>
      <c r="I639" s="541"/>
      <c r="J639" s="541"/>
      <c r="K639" s="541"/>
    </row>
    <row r="640" spans="1:11" s="38" customFormat="1" ht="93" customHeight="1" x14ac:dyDescent="0.25">
      <c r="A640" s="10">
        <v>201</v>
      </c>
      <c r="B640" s="18" t="s">
        <v>124</v>
      </c>
      <c r="C640" s="17" t="s">
        <v>14</v>
      </c>
      <c r="D640" s="17" t="s">
        <v>16</v>
      </c>
      <c r="E640" s="33">
        <v>552000</v>
      </c>
      <c r="F640" s="33">
        <v>777006.2</v>
      </c>
      <c r="G640" s="30">
        <f>F640/E640*100</f>
        <v>140.76199275362319</v>
      </c>
      <c r="H640" s="21">
        <v>100</v>
      </c>
      <c r="I640" s="59"/>
      <c r="J640" s="64" t="s">
        <v>351</v>
      </c>
      <c r="K640" s="53"/>
    </row>
    <row r="641" spans="1:11" s="345" customFormat="1" ht="17.25" customHeight="1" x14ac:dyDescent="0.25">
      <c r="A641" s="277"/>
      <c r="B641" s="24" t="s">
        <v>19</v>
      </c>
      <c r="C641" s="22"/>
      <c r="D641" s="22"/>
      <c r="E641" s="35">
        <v>552000</v>
      </c>
      <c r="F641" s="35">
        <v>777006.2</v>
      </c>
      <c r="G641" s="269">
        <f t="shared" ref="G641:G649" si="32">F641/E641*100</f>
        <v>140.76199275362319</v>
      </c>
      <c r="H641" s="25"/>
      <c r="I641" s="363"/>
      <c r="J641" s="83"/>
      <c r="K641" s="287"/>
    </row>
    <row r="642" spans="1:11" s="38" customFormat="1" ht="99.75" customHeight="1" x14ac:dyDescent="0.25">
      <c r="A642" s="10">
        <v>202</v>
      </c>
      <c r="B642" s="18" t="s">
        <v>125</v>
      </c>
      <c r="C642" s="17" t="s">
        <v>14</v>
      </c>
      <c r="D642" s="17" t="s">
        <v>16</v>
      </c>
      <c r="E642" s="33">
        <v>278200</v>
      </c>
      <c r="F642" s="33">
        <v>458693.3</v>
      </c>
      <c r="G642" s="30">
        <f t="shared" si="32"/>
        <v>164.87897196261682</v>
      </c>
      <c r="H642" s="21">
        <v>100</v>
      </c>
      <c r="I642" s="59"/>
      <c r="J642" s="64" t="s">
        <v>351</v>
      </c>
      <c r="K642" s="53"/>
    </row>
    <row r="643" spans="1:11" s="345" customFormat="1" ht="17.25" customHeight="1" x14ac:dyDescent="0.25">
      <c r="A643" s="277"/>
      <c r="B643" s="24" t="s">
        <v>19</v>
      </c>
      <c r="C643" s="22"/>
      <c r="D643" s="22"/>
      <c r="E643" s="35">
        <v>278200</v>
      </c>
      <c r="F643" s="35">
        <v>458693.3</v>
      </c>
      <c r="G643" s="269">
        <f t="shared" si="32"/>
        <v>164.87897196261682</v>
      </c>
      <c r="H643" s="25"/>
      <c r="I643" s="363"/>
      <c r="J643" s="83"/>
      <c r="K643" s="287"/>
    </row>
    <row r="644" spans="1:11" s="38" customFormat="1" ht="82.5" customHeight="1" x14ac:dyDescent="0.25">
      <c r="A644" s="10">
        <v>203</v>
      </c>
      <c r="B644" s="18" t="s">
        <v>126</v>
      </c>
      <c r="C644" s="17" t="s">
        <v>14</v>
      </c>
      <c r="D644" s="17" t="s">
        <v>16</v>
      </c>
      <c r="E644" s="33">
        <v>218900</v>
      </c>
      <c r="F644" s="33">
        <v>230159.3</v>
      </c>
      <c r="G644" s="30">
        <f t="shared" si="32"/>
        <v>105.14358154408406</v>
      </c>
      <c r="H644" s="21">
        <v>100</v>
      </c>
      <c r="I644" s="59"/>
      <c r="J644" s="64" t="s">
        <v>351</v>
      </c>
      <c r="K644" s="53"/>
    </row>
    <row r="645" spans="1:11" s="345" customFormat="1" ht="17.25" customHeight="1" x14ac:dyDescent="0.25">
      <c r="A645" s="277"/>
      <c r="B645" s="24" t="s">
        <v>19</v>
      </c>
      <c r="C645" s="22"/>
      <c r="D645" s="22"/>
      <c r="E645" s="35">
        <v>218900</v>
      </c>
      <c r="F645" s="35">
        <v>230159.3</v>
      </c>
      <c r="G645" s="269">
        <f t="shared" si="32"/>
        <v>105.14358154408406</v>
      </c>
      <c r="H645" s="25"/>
      <c r="I645" s="363"/>
      <c r="J645" s="83"/>
      <c r="K645" s="287"/>
    </row>
    <row r="646" spans="1:11" s="38" customFormat="1" ht="83.25" customHeight="1" x14ac:dyDescent="0.25">
      <c r="A646" s="10">
        <v>204</v>
      </c>
      <c r="B646" s="18" t="s">
        <v>126</v>
      </c>
      <c r="C646" s="17" t="s">
        <v>14</v>
      </c>
      <c r="D646" s="17" t="s">
        <v>16</v>
      </c>
      <c r="E646" s="33">
        <v>19500</v>
      </c>
      <c r="F646" s="33">
        <v>27374.04</v>
      </c>
      <c r="G646" s="30">
        <f t="shared" si="32"/>
        <v>140.37969230769232</v>
      </c>
      <c r="H646" s="21">
        <v>100</v>
      </c>
      <c r="I646" s="59"/>
      <c r="J646" s="64" t="s">
        <v>351</v>
      </c>
      <c r="K646" s="53"/>
    </row>
    <row r="647" spans="1:11" s="345" customFormat="1" ht="17.25" customHeight="1" x14ac:dyDescent="0.25">
      <c r="A647" s="277"/>
      <c r="B647" s="24" t="s">
        <v>19</v>
      </c>
      <c r="C647" s="22"/>
      <c r="D647" s="22"/>
      <c r="E647" s="35">
        <v>19500</v>
      </c>
      <c r="F647" s="35">
        <v>27374.04</v>
      </c>
      <c r="G647" s="269">
        <f t="shared" si="32"/>
        <v>140.37969230769232</v>
      </c>
      <c r="H647" s="25"/>
      <c r="I647" s="363"/>
      <c r="J647" s="364"/>
      <c r="K647" s="287"/>
    </row>
    <row r="648" spans="1:11" s="38" customFormat="1" ht="17.25" customHeight="1" x14ac:dyDescent="0.25">
      <c r="A648" s="10"/>
      <c r="B648" s="28" t="s">
        <v>54</v>
      </c>
      <c r="C648" s="17"/>
      <c r="D648" s="17"/>
      <c r="E648" s="34">
        <f>E640+E642+E644+E646</f>
        <v>1068600</v>
      </c>
      <c r="F648" s="34">
        <f>F640+F642+F644+F646</f>
        <v>1493232.84</v>
      </c>
      <c r="G648" s="43">
        <f t="shared" si="32"/>
        <v>139.73730488489613</v>
      </c>
      <c r="H648" s="27"/>
      <c r="I648" s="59"/>
      <c r="J648" s="104"/>
      <c r="K648" s="53"/>
    </row>
    <row r="649" spans="1:11" s="345" customFormat="1" ht="17.25" customHeight="1" x14ac:dyDescent="0.25">
      <c r="A649" s="277"/>
      <c r="B649" s="24" t="s">
        <v>19</v>
      </c>
      <c r="C649" s="22"/>
      <c r="D649" s="22"/>
      <c r="E649" s="35">
        <f>E641+E643+E645+E647</f>
        <v>1068600</v>
      </c>
      <c r="F649" s="35">
        <f>F641+F643+F645+F647</f>
        <v>1493232.84</v>
      </c>
      <c r="G649" s="269">
        <f t="shared" si="32"/>
        <v>139.73730488489613</v>
      </c>
      <c r="H649" s="25"/>
      <c r="I649" s="363"/>
      <c r="J649" s="364"/>
      <c r="K649" s="287"/>
    </row>
    <row r="650" spans="1:11" ht="17.25" customHeight="1" x14ac:dyDescent="0.25">
      <c r="A650" s="541" t="s">
        <v>127</v>
      </c>
      <c r="B650" s="541"/>
      <c r="C650" s="541"/>
      <c r="D650" s="541"/>
      <c r="E650" s="541"/>
      <c r="F650" s="541"/>
      <c r="G650" s="541"/>
      <c r="H650" s="541"/>
      <c r="I650" s="541"/>
      <c r="J650" s="541"/>
      <c r="K650" s="541"/>
    </row>
    <row r="651" spans="1:11" s="38" customFormat="1" ht="111.75" customHeight="1" x14ac:dyDescent="0.25">
      <c r="A651" s="10">
        <v>205</v>
      </c>
      <c r="B651" s="18" t="s">
        <v>128</v>
      </c>
      <c r="C651" s="17" t="s">
        <v>14</v>
      </c>
      <c r="D651" s="17" t="s">
        <v>16</v>
      </c>
      <c r="E651" s="33">
        <v>15200</v>
      </c>
      <c r="F651" s="33">
        <v>15200</v>
      </c>
      <c r="G651" s="30">
        <f>F651/E651*100</f>
        <v>100</v>
      </c>
      <c r="H651" s="27">
        <v>100</v>
      </c>
      <c r="I651" s="104"/>
      <c r="J651" s="64" t="s">
        <v>351</v>
      </c>
      <c r="K651" s="53"/>
    </row>
    <row r="652" spans="1:11" s="345" customFormat="1" ht="17.25" customHeight="1" x14ac:dyDescent="0.25">
      <c r="A652" s="277"/>
      <c r="B652" s="24" t="s">
        <v>13</v>
      </c>
      <c r="C652" s="22"/>
      <c r="D652" s="22"/>
      <c r="E652" s="35">
        <v>15200</v>
      </c>
      <c r="F652" s="35">
        <v>15200</v>
      </c>
      <c r="G652" s="269">
        <f t="shared" ref="G652" si="33">F652/E652*100</f>
        <v>100</v>
      </c>
      <c r="H652" s="25"/>
      <c r="I652" s="364"/>
      <c r="J652" s="83"/>
      <c r="K652" s="287"/>
    </row>
    <row r="653" spans="1:11" s="38" customFormat="1" ht="159.75" customHeight="1" x14ac:dyDescent="0.25">
      <c r="A653" s="10">
        <v>206</v>
      </c>
      <c r="B653" s="64" t="s">
        <v>129</v>
      </c>
      <c r="C653" s="17" t="s">
        <v>14</v>
      </c>
      <c r="D653" s="17" t="s">
        <v>16</v>
      </c>
      <c r="E653" s="33">
        <f>SUM(E654:E658)</f>
        <v>37000</v>
      </c>
      <c r="F653" s="33">
        <f>SUM(F654:F658)</f>
        <v>37000</v>
      </c>
      <c r="G653" s="30">
        <f>F653/E653*100</f>
        <v>100</v>
      </c>
      <c r="H653" s="27">
        <v>100</v>
      </c>
      <c r="I653" s="104"/>
      <c r="J653" s="64" t="s">
        <v>351</v>
      </c>
      <c r="K653" s="53"/>
    </row>
    <row r="654" spans="1:11" s="38" customFormat="1" ht="21.75" customHeight="1" x14ac:dyDescent="0.25">
      <c r="A654" s="10"/>
      <c r="B654" s="18" t="s">
        <v>130</v>
      </c>
      <c r="C654" s="17"/>
      <c r="D654" s="17"/>
      <c r="E654" s="33">
        <v>5500</v>
      </c>
      <c r="F654" s="33">
        <v>5500</v>
      </c>
      <c r="G654" s="30">
        <f t="shared" ref="G654:G675" si="34">F654/E654*100</f>
        <v>100</v>
      </c>
      <c r="H654" s="27"/>
      <c r="I654" s="104"/>
      <c r="J654" s="64"/>
      <c r="K654" s="53"/>
    </row>
    <row r="655" spans="1:11" s="38" customFormat="1" ht="26.25" customHeight="1" x14ac:dyDescent="0.25">
      <c r="A655" s="10"/>
      <c r="B655" s="18" t="s">
        <v>131</v>
      </c>
      <c r="C655" s="17"/>
      <c r="D655" s="17"/>
      <c r="E655" s="33">
        <v>5500</v>
      </c>
      <c r="F655" s="33">
        <v>5500</v>
      </c>
      <c r="G655" s="30">
        <f t="shared" si="34"/>
        <v>100</v>
      </c>
      <c r="H655" s="27"/>
      <c r="I655" s="104"/>
      <c r="J655" s="64"/>
      <c r="K655" s="53"/>
    </row>
    <row r="656" spans="1:11" s="38" customFormat="1" ht="26.25" customHeight="1" x14ac:dyDescent="0.25">
      <c r="A656" s="10"/>
      <c r="B656" s="18" t="s">
        <v>132</v>
      </c>
      <c r="C656" s="17"/>
      <c r="D656" s="17"/>
      <c r="E656" s="33">
        <v>5500</v>
      </c>
      <c r="F656" s="33">
        <v>5500</v>
      </c>
      <c r="G656" s="30">
        <f t="shared" si="34"/>
        <v>100</v>
      </c>
      <c r="H656" s="27"/>
      <c r="I656" s="104"/>
      <c r="J656" s="64"/>
      <c r="K656" s="53"/>
    </row>
    <row r="657" spans="1:11" s="38" customFormat="1" ht="22.5" customHeight="1" x14ac:dyDescent="0.25">
      <c r="A657" s="10"/>
      <c r="B657" s="18" t="s">
        <v>133</v>
      </c>
      <c r="C657" s="17"/>
      <c r="D657" s="17"/>
      <c r="E657" s="33">
        <v>15000</v>
      </c>
      <c r="F657" s="33">
        <v>15000</v>
      </c>
      <c r="G657" s="30">
        <f t="shared" si="34"/>
        <v>100</v>
      </c>
      <c r="H657" s="27"/>
      <c r="I657" s="104"/>
      <c r="J657" s="64"/>
      <c r="K657" s="53"/>
    </row>
    <row r="658" spans="1:11" s="38" customFormat="1" ht="16.5" customHeight="1" x14ac:dyDescent="0.25">
      <c r="A658" s="10"/>
      <c r="B658" s="18" t="s">
        <v>134</v>
      </c>
      <c r="C658" s="17"/>
      <c r="D658" s="17"/>
      <c r="E658" s="33">
        <v>5500</v>
      </c>
      <c r="F658" s="33">
        <v>5500</v>
      </c>
      <c r="G658" s="30">
        <f t="shared" si="34"/>
        <v>100</v>
      </c>
      <c r="H658" s="27"/>
      <c r="I658" s="104"/>
      <c r="J658" s="64"/>
      <c r="K658" s="53"/>
    </row>
    <row r="659" spans="1:11" s="345" customFormat="1" ht="17.25" customHeight="1" x14ac:dyDescent="0.25">
      <c r="A659" s="277"/>
      <c r="B659" s="24" t="s">
        <v>13</v>
      </c>
      <c r="C659" s="22"/>
      <c r="D659" s="22"/>
      <c r="E659" s="35">
        <f>E653</f>
        <v>37000</v>
      </c>
      <c r="F659" s="35">
        <f t="shared" ref="F659" si="35">F653</f>
        <v>37000</v>
      </c>
      <c r="G659" s="269">
        <f t="shared" si="34"/>
        <v>100</v>
      </c>
      <c r="H659" s="25"/>
      <c r="I659" s="364"/>
      <c r="J659" s="83"/>
      <c r="K659" s="287"/>
    </row>
    <row r="660" spans="1:11" s="38" customFormat="1" ht="69.75" customHeight="1" x14ac:dyDescent="0.25">
      <c r="A660" s="10">
        <v>207</v>
      </c>
      <c r="B660" s="18" t="s">
        <v>272</v>
      </c>
      <c r="C660" s="17" t="s">
        <v>14</v>
      </c>
      <c r="D660" s="17" t="s">
        <v>16</v>
      </c>
      <c r="E660" s="33">
        <v>8900</v>
      </c>
      <c r="F660" s="33">
        <v>8900</v>
      </c>
      <c r="G660" s="30">
        <f t="shared" si="34"/>
        <v>100</v>
      </c>
      <c r="H660" s="27">
        <v>100</v>
      </c>
      <c r="I660" s="104"/>
      <c r="J660" s="64" t="s">
        <v>351</v>
      </c>
      <c r="K660" s="53"/>
    </row>
    <row r="661" spans="1:11" s="345" customFormat="1" ht="17.25" customHeight="1" x14ac:dyDescent="0.25">
      <c r="A661" s="277"/>
      <c r="B661" s="24" t="s">
        <v>13</v>
      </c>
      <c r="C661" s="22"/>
      <c r="D661" s="22"/>
      <c r="E661" s="35">
        <v>8900</v>
      </c>
      <c r="F661" s="35">
        <v>8900</v>
      </c>
      <c r="G661" s="269">
        <f t="shared" si="34"/>
        <v>100</v>
      </c>
      <c r="H661" s="25"/>
      <c r="I661" s="364"/>
      <c r="J661" s="83"/>
      <c r="K661" s="287"/>
    </row>
    <row r="662" spans="1:11" s="38" customFormat="1" ht="127.5" customHeight="1" x14ac:dyDescent="0.25">
      <c r="A662" s="10">
        <v>208</v>
      </c>
      <c r="B662" s="18" t="s">
        <v>135</v>
      </c>
      <c r="C662" s="17" t="s">
        <v>103</v>
      </c>
      <c r="D662" s="17" t="s">
        <v>16</v>
      </c>
      <c r="E662" s="33">
        <v>3000</v>
      </c>
      <c r="F662" s="33">
        <v>3000</v>
      </c>
      <c r="G662" s="30">
        <f t="shared" si="34"/>
        <v>100</v>
      </c>
      <c r="H662" s="27">
        <v>100</v>
      </c>
      <c r="I662" s="104"/>
      <c r="J662" s="64" t="s">
        <v>351</v>
      </c>
      <c r="K662" s="53"/>
    </row>
    <row r="663" spans="1:11" s="345" customFormat="1" ht="17.25" customHeight="1" x14ac:dyDescent="0.25">
      <c r="A663" s="277"/>
      <c r="B663" s="24" t="s">
        <v>13</v>
      </c>
      <c r="C663" s="22"/>
      <c r="D663" s="22"/>
      <c r="E663" s="35">
        <v>3000</v>
      </c>
      <c r="F663" s="35">
        <v>3000</v>
      </c>
      <c r="G663" s="269">
        <f t="shared" si="34"/>
        <v>100</v>
      </c>
      <c r="H663" s="25"/>
      <c r="I663" s="364"/>
      <c r="J663" s="83"/>
      <c r="K663" s="287"/>
    </row>
    <row r="664" spans="1:11" s="38" customFormat="1" ht="129" customHeight="1" x14ac:dyDescent="0.25">
      <c r="A664" s="10">
        <v>209</v>
      </c>
      <c r="B664" s="18" t="s">
        <v>273</v>
      </c>
      <c r="C664" s="17" t="s">
        <v>92</v>
      </c>
      <c r="D664" s="17" t="s">
        <v>16</v>
      </c>
      <c r="E664" s="33">
        <v>2953</v>
      </c>
      <c r="F664" s="33">
        <v>2953</v>
      </c>
      <c r="G664" s="30">
        <f t="shared" si="34"/>
        <v>100</v>
      </c>
      <c r="H664" s="27">
        <v>100</v>
      </c>
      <c r="I664" s="104"/>
      <c r="J664" s="64" t="s">
        <v>351</v>
      </c>
      <c r="K664" s="53"/>
    </row>
    <row r="665" spans="1:11" s="345" customFormat="1" ht="17.25" customHeight="1" x14ac:dyDescent="0.25">
      <c r="A665" s="277"/>
      <c r="B665" s="24" t="s">
        <v>13</v>
      </c>
      <c r="C665" s="22"/>
      <c r="D665" s="22"/>
      <c r="E665" s="35">
        <v>2953</v>
      </c>
      <c r="F665" s="35">
        <v>2953</v>
      </c>
      <c r="G665" s="269">
        <f t="shared" si="34"/>
        <v>100</v>
      </c>
      <c r="H665" s="25"/>
      <c r="I665" s="364"/>
      <c r="J665" s="83"/>
      <c r="K665" s="287"/>
    </row>
    <row r="666" spans="1:11" s="38" customFormat="1" ht="141.75" customHeight="1" x14ac:dyDescent="0.25">
      <c r="A666" s="10">
        <v>210</v>
      </c>
      <c r="B666" s="64" t="s">
        <v>136</v>
      </c>
      <c r="C666" s="17" t="s">
        <v>50</v>
      </c>
      <c r="D666" s="17" t="s">
        <v>16</v>
      </c>
      <c r="E666" s="33">
        <f>E667+E668</f>
        <v>8291</v>
      </c>
      <c r="F666" s="33">
        <f>F667+F668</f>
        <v>8291</v>
      </c>
      <c r="G666" s="30">
        <f t="shared" si="34"/>
        <v>100</v>
      </c>
      <c r="H666" s="27">
        <v>100</v>
      </c>
      <c r="I666" s="104"/>
      <c r="J666" s="64" t="s">
        <v>351</v>
      </c>
      <c r="K666" s="53"/>
    </row>
    <row r="667" spans="1:11" s="38" customFormat="1" ht="18" customHeight="1" x14ac:dyDescent="0.25">
      <c r="A667" s="10"/>
      <c r="B667" s="18" t="s">
        <v>137</v>
      </c>
      <c r="C667" s="17"/>
      <c r="D667" s="17"/>
      <c r="E667" s="33">
        <v>2800</v>
      </c>
      <c r="F667" s="33">
        <v>2800</v>
      </c>
      <c r="G667" s="30">
        <f t="shared" si="34"/>
        <v>100</v>
      </c>
      <c r="H667" s="27"/>
      <c r="I667" s="104"/>
      <c r="J667" s="104"/>
      <c r="K667" s="53"/>
    </row>
    <row r="668" spans="1:11" s="38" customFormat="1" ht="68.25" customHeight="1" x14ac:dyDescent="0.25">
      <c r="A668" s="10"/>
      <c r="B668" s="18" t="s">
        <v>138</v>
      </c>
      <c r="C668" s="110"/>
      <c r="D668" s="110"/>
      <c r="E668" s="33">
        <v>5491</v>
      </c>
      <c r="F668" s="33">
        <v>5491</v>
      </c>
      <c r="G668" s="30">
        <f t="shared" si="34"/>
        <v>100</v>
      </c>
      <c r="H668" s="111"/>
      <c r="I668" s="112"/>
      <c r="J668" s="112"/>
      <c r="K668" s="53"/>
    </row>
    <row r="669" spans="1:11" s="345" customFormat="1" ht="17.25" customHeight="1" x14ac:dyDescent="0.25">
      <c r="A669" s="277"/>
      <c r="B669" s="24" t="s">
        <v>13</v>
      </c>
      <c r="C669" s="371"/>
      <c r="D669" s="371"/>
      <c r="E669" s="35">
        <f>E666</f>
        <v>8291</v>
      </c>
      <c r="F669" s="35">
        <f>F666</f>
        <v>8291</v>
      </c>
      <c r="G669" s="269">
        <f t="shared" si="34"/>
        <v>100</v>
      </c>
      <c r="H669" s="372"/>
      <c r="I669" s="373"/>
      <c r="J669" s="373"/>
      <c r="K669" s="287"/>
    </row>
    <row r="670" spans="1:11" s="38" customFormat="1" ht="17.25" customHeight="1" x14ac:dyDescent="0.25">
      <c r="A670" s="10"/>
      <c r="B670" s="28" t="s">
        <v>54</v>
      </c>
      <c r="C670" s="113"/>
      <c r="D670" s="113"/>
      <c r="E670" s="34">
        <f>E651+E653+E660+E662+E664+E666</f>
        <v>75344</v>
      </c>
      <c r="F670" s="33">
        <f>F651+F653+F660+F662+F664+F666</f>
        <v>75344</v>
      </c>
      <c r="G670" s="30">
        <f t="shared" si="34"/>
        <v>100</v>
      </c>
      <c r="H670" s="114"/>
      <c r="I670" s="115"/>
      <c r="J670" s="115"/>
      <c r="K670" s="53"/>
    </row>
    <row r="671" spans="1:11" s="345" customFormat="1" ht="29.25" customHeight="1" x14ac:dyDescent="0.25">
      <c r="A671" s="277"/>
      <c r="B671" s="24" t="s">
        <v>13</v>
      </c>
      <c r="C671" s="374"/>
      <c r="D671" s="374"/>
      <c r="E671" s="35">
        <f>E652+E659+E661+E663+E665+E669</f>
        <v>75344</v>
      </c>
      <c r="F671" s="35">
        <f>F652+F659+F661+F663+F665+F669</f>
        <v>75344</v>
      </c>
      <c r="G671" s="269">
        <f t="shared" si="34"/>
        <v>100</v>
      </c>
      <c r="H671" s="375"/>
      <c r="I671" s="376"/>
      <c r="J671" s="376"/>
      <c r="K671" s="287"/>
    </row>
    <row r="672" spans="1:11" ht="17.25" customHeight="1" x14ac:dyDescent="0.25">
      <c r="A672" s="10"/>
      <c r="B672" s="31" t="s">
        <v>73</v>
      </c>
      <c r="C672" s="113"/>
      <c r="D672" s="113"/>
      <c r="E672" s="34">
        <f>E673+E674+E675</f>
        <v>2214917</v>
      </c>
      <c r="F672" s="34">
        <f>F673+F674+F675</f>
        <v>2633485.1900000004</v>
      </c>
      <c r="G672" s="43">
        <f t="shared" si="34"/>
        <v>118.89769187739316</v>
      </c>
      <c r="H672" s="114"/>
      <c r="I672" s="115"/>
      <c r="J672" s="116"/>
      <c r="K672" s="14"/>
    </row>
    <row r="673" spans="1:11" s="263" customFormat="1" ht="17.25" customHeight="1" x14ac:dyDescent="0.25">
      <c r="A673" s="277"/>
      <c r="B673" s="32" t="s">
        <v>13</v>
      </c>
      <c r="C673" s="374"/>
      <c r="D673" s="374"/>
      <c r="E673" s="35">
        <f>E526+E542+E551+E563+E576+E581+E588+E593+E614+E633+E638+E671</f>
        <v>1124817</v>
      </c>
      <c r="F673" s="35">
        <f>F526+F542+F551+F563+F576+F581+F588+F593+F614+F633+F638+F671</f>
        <v>1118752.3500000001</v>
      </c>
      <c r="G673" s="269">
        <f t="shared" si="34"/>
        <v>99.460832295386723</v>
      </c>
      <c r="H673" s="375"/>
      <c r="I673" s="376"/>
      <c r="J673" s="376"/>
      <c r="K673" s="279"/>
    </row>
    <row r="674" spans="1:11" s="263" customFormat="1" ht="19.5" customHeight="1" x14ac:dyDescent="0.25">
      <c r="A674" s="277"/>
      <c r="B674" s="32" t="s">
        <v>144</v>
      </c>
      <c r="C674" s="374"/>
      <c r="D674" s="374"/>
      <c r="E674" s="35">
        <f>E649</f>
        <v>1068600</v>
      </c>
      <c r="F674" s="35">
        <f>F649</f>
        <v>1493232.84</v>
      </c>
      <c r="G674" s="269">
        <f t="shared" si="34"/>
        <v>139.73730488489613</v>
      </c>
      <c r="H674" s="375"/>
      <c r="I674" s="376"/>
      <c r="J674" s="376"/>
      <c r="K674" s="279"/>
    </row>
    <row r="675" spans="1:11" s="263" customFormat="1" ht="34.5" customHeight="1" x14ac:dyDescent="0.25">
      <c r="A675" s="277"/>
      <c r="B675" s="79" t="s">
        <v>139</v>
      </c>
      <c r="C675" s="374"/>
      <c r="D675" s="374"/>
      <c r="E675" s="35">
        <f>E527+E615</f>
        <v>21500</v>
      </c>
      <c r="F675" s="35">
        <f>F527+F615</f>
        <v>21500</v>
      </c>
      <c r="G675" s="269">
        <f t="shared" si="34"/>
        <v>100</v>
      </c>
      <c r="H675" s="375"/>
      <c r="I675" s="376"/>
      <c r="J675" s="376"/>
      <c r="K675" s="279"/>
    </row>
    <row r="676" spans="1:11" ht="17.25" customHeight="1" x14ac:dyDescent="0.25">
      <c r="A676" s="10"/>
      <c r="B676" s="32"/>
      <c r="C676" s="12"/>
      <c r="D676" s="12"/>
      <c r="E676" s="12"/>
      <c r="F676" s="12"/>
      <c r="G676" s="12"/>
      <c r="H676" s="13"/>
      <c r="I676" s="14"/>
      <c r="J676" s="14"/>
      <c r="K676" s="14"/>
    </row>
    <row r="677" spans="1:11" ht="40.5" customHeight="1" x14ac:dyDescent="0.25">
      <c r="A677" s="542" t="s">
        <v>308</v>
      </c>
      <c r="B677" s="542"/>
      <c r="C677" s="542"/>
      <c r="D677" s="542"/>
      <c r="E677" s="542"/>
      <c r="F677" s="542"/>
      <c r="G677" s="542"/>
      <c r="H677" s="542"/>
      <c r="I677" s="542"/>
      <c r="J677" s="542"/>
      <c r="K677" s="542"/>
    </row>
    <row r="678" spans="1:11" ht="35.25" customHeight="1" x14ac:dyDescent="0.25">
      <c r="A678" s="541" t="s">
        <v>309</v>
      </c>
      <c r="B678" s="541"/>
      <c r="C678" s="541"/>
      <c r="D678" s="541"/>
      <c r="E678" s="541"/>
      <c r="F678" s="541"/>
      <c r="G678" s="541"/>
      <c r="H678" s="541"/>
      <c r="I678" s="541"/>
      <c r="J678" s="541"/>
      <c r="K678" s="541"/>
    </row>
    <row r="679" spans="1:11" ht="84" customHeight="1" x14ac:dyDescent="0.25">
      <c r="A679" s="10">
        <v>211</v>
      </c>
      <c r="B679" s="18" t="s">
        <v>40</v>
      </c>
      <c r="C679" s="17" t="s">
        <v>14</v>
      </c>
      <c r="D679" s="17" t="s">
        <v>16</v>
      </c>
      <c r="E679" s="20">
        <v>3470462</v>
      </c>
      <c r="F679" s="33">
        <v>3223288.25</v>
      </c>
      <c r="G679" s="20">
        <f t="shared" ref="G679:G742" si="36">F679/E679*100</f>
        <v>92.877785436060094</v>
      </c>
      <c r="H679" s="54">
        <v>100</v>
      </c>
      <c r="I679" s="14"/>
      <c r="J679" s="23" t="s">
        <v>351</v>
      </c>
      <c r="K679" s="14"/>
    </row>
    <row r="680" spans="1:11" s="263" customFormat="1" ht="17.25" customHeight="1" x14ac:dyDescent="0.25">
      <c r="A680" s="277"/>
      <c r="B680" s="24" t="s">
        <v>13</v>
      </c>
      <c r="C680" s="278"/>
      <c r="D680" s="278"/>
      <c r="E680" s="117">
        <v>3470462</v>
      </c>
      <c r="F680" s="35">
        <v>3223288.25</v>
      </c>
      <c r="G680" s="117">
        <f t="shared" si="36"/>
        <v>92.877785436060094</v>
      </c>
      <c r="H680" s="280"/>
      <c r="I680" s="279"/>
      <c r="J680" s="279"/>
      <c r="K680" s="279"/>
    </row>
    <row r="681" spans="1:11" ht="144.75" customHeight="1" x14ac:dyDescent="0.25">
      <c r="A681" s="10">
        <v>212</v>
      </c>
      <c r="B681" s="18" t="s">
        <v>310</v>
      </c>
      <c r="C681" s="17" t="s">
        <v>14</v>
      </c>
      <c r="D681" s="17" t="s">
        <v>16</v>
      </c>
      <c r="E681" s="20">
        <v>209302</v>
      </c>
      <c r="F681" s="33">
        <v>194802</v>
      </c>
      <c r="G681" s="20">
        <f t="shared" si="36"/>
        <v>93.072211445662248</v>
      </c>
      <c r="H681" s="54">
        <v>100</v>
      </c>
      <c r="I681" s="14"/>
      <c r="J681" s="23" t="s">
        <v>351</v>
      </c>
      <c r="K681" s="14"/>
    </row>
    <row r="682" spans="1:11" s="263" customFormat="1" ht="17.25" customHeight="1" x14ac:dyDescent="0.25">
      <c r="A682" s="277"/>
      <c r="B682" s="24" t="s">
        <v>13</v>
      </c>
      <c r="C682" s="278"/>
      <c r="D682" s="278"/>
      <c r="E682" s="117">
        <v>209302</v>
      </c>
      <c r="F682" s="35">
        <v>194802</v>
      </c>
      <c r="G682" s="117">
        <f t="shared" si="36"/>
        <v>93.072211445662248</v>
      </c>
      <c r="H682" s="280"/>
      <c r="I682" s="279"/>
      <c r="J682" s="279"/>
      <c r="K682" s="279"/>
    </row>
    <row r="683" spans="1:11" ht="78" customHeight="1" x14ac:dyDescent="0.25">
      <c r="A683" s="10">
        <v>213</v>
      </c>
      <c r="B683" s="18" t="s">
        <v>41</v>
      </c>
      <c r="C683" s="17" t="s">
        <v>14</v>
      </c>
      <c r="D683" s="17" t="s">
        <v>16</v>
      </c>
      <c r="E683" s="20">
        <v>146191</v>
      </c>
      <c r="F683" s="33">
        <v>117966.91</v>
      </c>
      <c r="G683" s="20">
        <f t="shared" si="36"/>
        <v>80.693688393950382</v>
      </c>
      <c r="H683" s="54">
        <v>100</v>
      </c>
      <c r="I683" s="14"/>
      <c r="J683" s="23" t="s">
        <v>351</v>
      </c>
      <c r="K683" s="14"/>
    </row>
    <row r="684" spans="1:11" s="263" customFormat="1" ht="17.25" customHeight="1" x14ac:dyDescent="0.25">
      <c r="A684" s="277"/>
      <c r="B684" s="24" t="s">
        <v>13</v>
      </c>
      <c r="C684" s="278"/>
      <c r="D684" s="278"/>
      <c r="E684" s="117">
        <v>146191</v>
      </c>
      <c r="F684" s="35">
        <v>117966.91</v>
      </c>
      <c r="G684" s="117">
        <f t="shared" si="36"/>
        <v>80.693688393950382</v>
      </c>
      <c r="H684" s="280"/>
      <c r="I684" s="279"/>
      <c r="J684" s="279"/>
      <c r="K684" s="279"/>
    </row>
    <row r="685" spans="1:11" ht="51.75" customHeight="1" x14ac:dyDescent="0.25">
      <c r="A685" s="10">
        <v>214</v>
      </c>
      <c r="B685" s="18" t="s">
        <v>42</v>
      </c>
      <c r="C685" s="17" t="s">
        <v>14</v>
      </c>
      <c r="D685" s="17" t="s">
        <v>16</v>
      </c>
      <c r="E685" s="20">
        <v>10304</v>
      </c>
      <c r="F685" s="33">
        <v>3883.73</v>
      </c>
      <c r="G685" s="20">
        <f t="shared" si="36"/>
        <v>37.691479037267079</v>
      </c>
      <c r="H685" s="54">
        <v>100</v>
      </c>
      <c r="I685" s="14"/>
      <c r="J685" s="23" t="s">
        <v>351</v>
      </c>
      <c r="K685" s="14"/>
    </row>
    <row r="686" spans="1:11" s="263" customFormat="1" ht="17.25" customHeight="1" x14ac:dyDescent="0.25">
      <c r="A686" s="277"/>
      <c r="B686" s="24" t="s">
        <v>13</v>
      </c>
      <c r="C686" s="278"/>
      <c r="D686" s="278"/>
      <c r="E686" s="117">
        <v>10304</v>
      </c>
      <c r="F686" s="35">
        <v>3883.73</v>
      </c>
      <c r="G686" s="117">
        <f t="shared" si="36"/>
        <v>37.691479037267079</v>
      </c>
      <c r="H686" s="280"/>
      <c r="I686" s="279"/>
      <c r="J686" s="279"/>
      <c r="K686" s="279"/>
    </row>
    <row r="687" spans="1:11" ht="66.75" customHeight="1" x14ac:dyDescent="0.25">
      <c r="A687" s="10">
        <v>215</v>
      </c>
      <c r="B687" s="18" t="s">
        <v>43</v>
      </c>
      <c r="C687" s="17" t="s">
        <v>26</v>
      </c>
      <c r="D687" s="17" t="s">
        <v>280</v>
      </c>
      <c r="E687" s="377">
        <f>E689+E690+E691+E692+E693+E694+E695</f>
        <v>13915559.300000001</v>
      </c>
      <c r="F687" s="377">
        <f>F689+F690+F691+F692+F693+F694+F695</f>
        <v>11813541.99</v>
      </c>
      <c r="G687" s="20">
        <f>F687/E687*100</f>
        <v>84.894482034940552</v>
      </c>
      <c r="H687" s="54">
        <v>100</v>
      </c>
      <c r="I687" s="14"/>
      <c r="J687" s="23" t="s">
        <v>555</v>
      </c>
      <c r="K687" s="14"/>
    </row>
    <row r="688" spans="1:11" s="263" customFormat="1" ht="15" customHeight="1" x14ac:dyDescent="0.25">
      <c r="A688" s="277"/>
      <c r="B688" s="24" t="s">
        <v>312</v>
      </c>
      <c r="C688" s="278"/>
      <c r="D688" s="278"/>
      <c r="E688" s="378">
        <f>E689+E690+E691+E692+E693+E694+E695</f>
        <v>13915559.300000001</v>
      </c>
      <c r="F688" s="378">
        <f>F689+F690+F691+F692+F693+F694+F695</f>
        <v>11813541.99</v>
      </c>
      <c r="G688" s="117">
        <f>F688/E688*100</f>
        <v>84.894482034940552</v>
      </c>
      <c r="H688" s="280"/>
      <c r="I688" s="279"/>
      <c r="J688" s="279"/>
      <c r="K688" s="279"/>
    </row>
    <row r="689" spans="1:11" ht="18" customHeight="1" x14ac:dyDescent="0.25">
      <c r="A689" s="10"/>
      <c r="B689" s="119" t="s">
        <v>28</v>
      </c>
      <c r="C689" s="12"/>
      <c r="D689" s="12"/>
      <c r="E689" s="33">
        <f>E698+E707+E716+E735+E740+E748+E757+E763</f>
        <v>1017267</v>
      </c>
      <c r="F689" s="33">
        <f>F698+F707+F716+F735+F740+F748+F757+F763</f>
        <v>710395.22</v>
      </c>
      <c r="G689" s="20">
        <f t="shared" si="36"/>
        <v>69.833703442655661</v>
      </c>
      <c r="H689" s="13"/>
      <c r="I689" s="14"/>
      <c r="J689" s="14"/>
      <c r="K689" s="14"/>
    </row>
    <row r="690" spans="1:11" ht="18.75" customHeight="1" x14ac:dyDescent="0.25">
      <c r="A690" s="10"/>
      <c r="B690" s="119" t="s">
        <v>29</v>
      </c>
      <c r="C690" s="12"/>
      <c r="D690" s="12"/>
      <c r="E690" s="33">
        <f>E699+E708+E717+E724+E736+E741+E749+E764</f>
        <v>316759</v>
      </c>
      <c r="F690" s="33">
        <f>F699+F708+F717+F724+F736+F741+F749+F764</f>
        <v>471679.17999999993</v>
      </c>
      <c r="G690" s="20">
        <f t="shared" si="36"/>
        <v>148.9079015907993</v>
      </c>
      <c r="H690" s="13"/>
      <c r="I690" s="14"/>
      <c r="J690" s="14"/>
      <c r="K690" s="14"/>
    </row>
    <row r="691" spans="1:11" ht="17.25" customHeight="1" x14ac:dyDescent="0.25">
      <c r="A691" s="10"/>
      <c r="B691" s="119" t="s">
        <v>30</v>
      </c>
      <c r="C691" s="12"/>
      <c r="D691" s="12"/>
      <c r="E691" s="33">
        <f>E700+E709+E750+E765</f>
        <v>1693509</v>
      </c>
      <c r="F691" s="33">
        <f>F700+F709+F750+F765</f>
        <v>1490716.23</v>
      </c>
      <c r="G691" s="20">
        <f t="shared" si="36"/>
        <v>88.025291273917048</v>
      </c>
      <c r="H691" s="13"/>
      <c r="I691" s="14"/>
      <c r="J691" s="14"/>
      <c r="K691" s="14"/>
    </row>
    <row r="692" spans="1:11" ht="19.5" customHeight="1" x14ac:dyDescent="0.25">
      <c r="A692" s="10"/>
      <c r="B692" s="119" t="s">
        <v>31</v>
      </c>
      <c r="C692" s="12"/>
      <c r="D692" s="12"/>
      <c r="E692" s="33">
        <f>E701+E710+E718+E742+E751+E766</f>
        <v>1328140.3</v>
      </c>
      <c r="F692" s="33">
        <f>F701+F710+F718+F742+F751+F766</f>
        <v>990516.33</v>
      </c>
      <c r="G692" s="20">
        <f t="shared" si="36"/>
        <v>74.579193930038855</v>
      </c>
      <c r="H692" s="13"/>
      <c r="I692" s="14"/>
      <c r="J692" s="14"/>
      <c r="K692" s="14"/>
    </row>
    <row r="693" spans="1:11" ht="19.5" customHeight="1" x14ac:dyDescent="0.25">
      <c r="A693" s="10"/>
      <c r="B693" s="119" t="s">
        <v>32</v>
      </c>
      <c r="C693" s="12"/>
      <c r="D693" s="12"/>
      <c r="E693" s="33">
        <f>E702+E711+E719+E728+E730+E737+E743+E752+E767</f>
        <v>1913386</v>
      </c>
      <c r="F693" s="33">
        <f>F702+F711+F719+F728+F730+F737+F743+F752+F767</f>
        <v>2022070.6300000001</v>
      </c>
      <c r="G693" s="20">
        <f t="shared" si="36"/>
        <v>105.68022500425947</v>
      </c>
      <c r="H693" s="13"/>
      <c r="I693" s="14"/>
      <c r="J693" s="14"/>
      <c r="K693" s="14"/>
    </row>
    <row r="694" spans="1:11" ht="21" customHeight="1" x14ac:dyDescent="0.25">
      <c r="A694" s="10"/>
      <c r="B694" s="119" t="s">
        <v>33</v>
      </c>
      <c r="C694" s="12"/>
      <c r="D694" s="12"/>
      <c r="E694" s="33">
        <f>E703+E712+E720+E744+E753+E768</f>
        <v>290919</v>
      </c>
      <c r="F694" s="33">
        <f>F703+F712+F720+F744+F753+F768</f>
        <v>377283.33</v>
      </c>
      <c r="G694" s="20">
        <f t="shared" si="36"/>
        <v>129.68672723335362</v>
      </c>
      <c r="H694" s="13"/>
      <c r="I694" s="14"/>
      <c r="J694" s="14"/>
      <c r="K694" s="14"/>
    </row>
    <row r="695" spans="1:11" ht="21.75" customHeight="1" x14ac:dyDescent="0.25">
      <c r="A695" s="10"/>
      <c r="B695" s="119" t="s">
        <v>34</v>
      </c>
      <c r="C695" s="12"/>
      <c r="D695" s="12"/>
      <c r="E695" s="33">
        <f>E704+E713+E721+E725+E729+E745+E754+E760</f>
        <v>7355579</v>
      </c>
      <c r="F695" s="33">
        <f>F704+F713+F721+F725+F729+F745+F754+F760</f>
        <v>5750881.0700000003</v>
      </c>
      <c r="G695" s="20">
        <f t="shared" si="36"/>
        <v>78.183934534589326</v>
      </c>
      <c r="H695" s="13"/>
      <c r="I695" s="14"/>
      <c r="J695" s="14"/>
      <c r="K695" s="14"/>
    </row>
    <row r="696" spans="1:11" ht="51" customHeight="1" x14ac:dyDescent="0.25">
      <c r="A696" s="10" t="s">
        <v>556</v>
      </c>
      <c r="B696" s="18" t="s">
        <v>311</v>
      </c>
      <c r="C696" s="17" t="s">
        <v>26</v>
      </c>
      <c r="D696" s="17" t="s">
        <v>280</v>
      </c>
      <c r="E696" s="377">
        <f>E697</f>
        <v>6545350.9500000002</v>
      </c>
      <c r="F696" s="377">
        <f>F697</f>
        <v>4193676.24</v>
      </c>
      <c r="G696" s="20">
        <f t="shared" si="36"/>
        <v>64.071067724794801</v>
      </c>
      <c r="H696" s="54">
        <v>100</v>
      </c>
      <c r="I696" s="14"/>
      <c r="J696" s="23" t="s">
        <v>555</v>
      </c>
      <c r="K696" s="14"/>
    </row>
    <row r="697" spans="1:11" s="263" customFormat="1" ht="20.25" customHeight="1" x14ac:dyDescent="0.25">
      <c r="A697" s="277"/>
      <c r="B697" s="24" t="s">
        <v>312</v>
      </c>
      <c r="C697" s="278"/>
      <c r="D697" s="278"/>
      <c r="E697" s="378">
        <f>E698+E699+E700+E701+E702+E703+E704</f>
        <v>6545350.9500000002</v>
      </c>
      <c r="F697" s="378">
        <f>F698+F699+F700+F701+F702+F703+F704</f>
        <v>4193676.24</v>
      </c>
      <c r="G697" s="117">
        <f t="shared" si="36"/>
        <v>64.071067724794801</v>
      </c>
      <c r="H697" s="280"/>
      <c r="I697" s="279"/>
      <c r="J697" s="279"/>
      <c r="K697" s="279"/>
    </row>
    <row r="698" spans="1:11" ht="21.75" customHeight="1" x14ac:dyDescent="0.25">
      <c r="A698" s="10"/>
      <c r="B698" s="119" t="s">
        <v>28</v>
      </c>
      <c r="C698" s="12"/>
      <c r="D698" s="12"/>
      <c r="E698" s="377">
        <v>210000</v>
      </c>
      <c r="F698" s="33">
        <v>24383.5</v>
      </c>
      <c r="G698" s="20">
        <f t="shared" si="36"/>
        <v>11.611190476190476</v>
      </c>
      <c r="H698" s="54"/>
      <c r="I698" s="14"/>
      <c r="J698" s="14"/>
      <c r="K698" s="14"/>
    </row>
    <row r="699" spans="1:11" ht="21.75" customHeight="1" x14ac:dyDescent="0.25">
      <c r="A699" s="10"/>
      <c r="B699" s="119" t="s">
        <v>29</v>
      </c>
      <c r="C699" s="12"/>
      <c r="D699" s="12"/>
      <c r="E699" s="377">
        <v>27176</v>
      </c>
      <c r="F699" s="33">
        <v>26767</v>
      </c>
      <c r="G699" s="20">
        <f t="shared" si="36"/>
        <v>98.494995584339122</v>
      </c>
      <c r="H699" s="54"/>
      <c r="I699" s="14"/>
      <c r="J699" s="14"/>
      <c r="K699" s="14"/>
    </row>
    <row r="700" spans="1:11" ht="19.5" customHeight="1" x14ac:dyDescent="0.25">
      <c r="A700" s="10"/>
      <c r="B700" s="119" t="s">
        <v>30</v>
      </c>
      <c r="C700" s="12"/>
      <c r="D700" s="12"/>
      <c r="E700" s="377">
        <v>800000</v>
      </c>
      <c r="F700" s="33">
        <v>695052.14</v>
      </c>
      <c r="G700" s="20">
        <f t="shared" si="36"/>
        <v>86.881517500000001</v>
      </c>
      <c r="H700" s="54"/>
      <c r="I700" s="23"/>
      <c r="J700" s="14"/>
      <c r="K700" s="14"/>
    </row>
    <row r="701" spans="1:11" ht="20.25" customHeight="1" x14ac:dyDescent="0.25">
      <c r="A701" s="10"/>
      <c r="B701" s="119" t="s">
        <v>31</v>
      </c>
      <c r="C701" s="12"/>
      <c r="D701" s="12"/>
      <c r="E701" s="377">
        <v>82600</v>
      </c>
      <c r="F701" s="33">
        <v>51687.98</v>
      </c>
      <c r="G701" s="20">
        <f t="shared" si="36"/>
        <v>62.57624697336562</v>
      </c>
      <c r="H701" s="54"/>
      <c r="I701" s="14"/>
      <c r="J701" s="14"/>
      <c r="K701" s="14"/>
    </row>
    <row r="702" spans="1:11" ht="17.25" customHeight="1" x14ac:dyDescent="0.25">
      <c r="A702" s="10"/>
      <c r="B702" s="119" t="s">
        <v>32</v>
      </c>
      <c r="C702" s="12"/>
      <c r="D702" s="12"/>
      <c r="E702" s="377">
        <v>21000</v>
      </c>
      <c r="F702" s="33">
        <v>14530</v>
      </c>
      <c r="G702" s="20">
        <f t="shared" si="36"/>
        <v>69.19047619047619</v>
      </c>
      <c r="H702" s="54"/>
      <c r="I702" s="14"/>
      <c r="J702" s="14"/>
      <c r="K702" s="14"/>
    </row>
    <row r="703" spans="1:11" ht="18.75" customHeight="1" x14ac:dyDescent="0.25">
      <c r="A703" s="10"/>
      <c r="B703" s="119" t="s">
        <v>33</v>
      </c>
      <c r="C703" s="12"/>
      <c r="D703" s="12"/>
      <c r="E703" s="377">
        <v>0</v>
      </c>
      <c r="F703" s="33">
        <v>3759.64</v>
      </c>
      <c r="G703" s="20">
        <v>0</v>
      </c>
      <c r="H703" s="54"/>
      <c r="I703" s="14"/>
      <c r="J703" s="14"/>
      <c r="K703" s="14"/>
    </row>
    <row r="704" spans="1:11" ht="49.5" customHeight="1" x14ac:dyDescent="0.25">
      <c r="A704" s="10"/>
      <c r="B704" s="119" t="s">
        <v>34</v>
      </c>
      <c r="C704" s="12"/>
      <c r="D704" s="12"/>
      <c r="E704" s="377">
        <v>5404574.9500000002</v>
      </c>
      <c r="F704" s="33">
        <v>3377495.98</v>
      </c>
      <c r="G704" s="20">
        <f t="shared" si="36"/>
        <v>62.493276737701642</v>
      </c>
      <c r="H704" s="54"/>
      <c r="I704" s="23"/>
      <c r="J704" s="14"/>
      <c r="K704" s="14"/>
    </row>
    <row r="705" spans="1:11" ht="48.75" customHeight="1" x14ac:dyDescent="0.25">
      <c r="A705" s="10" t="s">
        <v>557</v>
      </c>
      <c r="B705" s="18" t="s">
        <v>313</v>
      </c>
      <c r="C705" s="17" t="s">
        <v>26</v>
      </c>
      <c r="D705" s="17" t="s">
        <v>280</v>
      </c>
      <c r="E705" s="377">
        <f>E706</f>
        <v>2773265.3</v>
      </c>
      <c r="F705" s="377">
        <f>F706</f>
        <v>2313617.39</v>
      </c>
      <c r="G705" s="20">
        <f t="shared" si="36"/>
        <v>83.425750504288217</v>
      </c>
      <c r="H705" s="54">
        <v>100</v>
      </c>
      <c r="I705" s="14"/>
      <c r="J705" s="23" t="s">
        <v>555</v>
      </c>
      <c r="K705" s="14"/>
    </row>
    <row r="706" spans="1:11" ht="21.75" customHeight="1" x14ac:dyDescent="0.25">
      <c r="A706" s="10"/>
      <c r="B706" s="24" t="s">
        <v>312</v>
      </c>
      <c r="C706" s="12"/>
      <c r="D706" s="12"/>
      <c r="E706" s="378">
        <f>E709+E710+E711+E712+E713</f>
        <v>2773265.3</v>
      </c>
      <c r="F706" s="378">
        <f>F707+F708+F709+F710+F711+F712+F713</f>
        <v>2313617.39</v>
      </c>
      <c r="G706" s="117">
        <f t="shared" si="36"/>
        <v>83.425750504288217</v>
      </c>
      <c r="H706" s="13"/>
      <c r="I706" s="14"/>
      <c r="J706" s="14"/>
      <c r="K706" s="14"/>
    </row>
    <row r="707" spans="1:11" ht="21.75" customHeight="1" x14ac:dyDescent="0.25">
      <c r="A707" s="10"/>
      <c r="B707" s="119" t="s">
        <v>28</v>
      </c>
      <c r="C707" s="12"/>
      <c r="D707" s="12"/>
      <c r="E707" s="378"/>
      <c r="F707" s="377">
        <v>11102.5</v>
      </c>
      <c r="G707" s="117"/>
      <c r="H707" s="54"/>
      <c r="I707" s="14"/>
      <c r="J707" s="14"/>
      <c r="K707" s="14"/>
    </row>
    <row r="708" spans="1:11" ht="21.75" customHeight="1" x14ac:dyDescent="0.25">
      <c r="A708" s="10"/>
      <c r="B708" s="119" t="s">
        <v>29</v>
      </c>
      <c r="C708" s="12"/>
      <c r="D708" s="12"/>
      <c r="E708" s="378"/>
      <c r="F708" s="377">
        <v>37017</v>
      </c>
      <c r="G708" s="117"/>
      <c r="H708" s="54"/>
      <c r="I708" s="14"/>
      <c r="J708" s="14"/>
      <c r="K708" s="14"/>
    </row>
    <row r="709" spans="1:11" ht="21.75" customHeight="1" x14ac:dyDescent="0.25">
      <c r="A709" s="10"/>
      <c r="B709" s="119" t="s">
        <v>30</v>
      </c>
      <c r="C709" s="12"/>
      <c r="D709" s="12"/>
      <c r="E709" s="377">
        <v>783130</v>
      </c>
      <c r="F709" s="33">
        <v>681541.82</v>
      </c>
      <c r="G709" s="20">
        <f t="shared" si="36"/>
        <v>87.027928951770448</v>
      </c>
      <c r="H709" s="54"/>
      <c r="I709" s="14"/>
      <c r="J709" s="14"/>
      <c r="K709" s="14"/>
    </row>
    <row r="710" spans="1:11" ht="31.5" customHeight="1" x14ac:dyDescent="0.25">
      <c r="A710" s="10"/>
      <c r="B710" s="119" t="s">
        <v>31</v>
      </c>
      <c r="C710" s="12"/>
      <c r="D710" s="12"/>
      <c r="E710" s="377">
        <v>836790.3</v>
      </c>
      <c r="F710" s="33">
        <v>294418.56</v>
      </c>
      <c r="G710" s="20">
        <f t="shared" si="36"/>
        <v>35.18427018095214</v>
      </c>
      <c r="H710" s="54"/>
      <c r="I710" s="23" t="s">
        <v>558</v>
      </c>
      <c r="J710" s="14"/>
      <c r="K710" s="14"/>
    </row>
    <row r="711" spans="1:11" ht="19.5" customHeight="1" x14ac:dyDescent="0.25">
      <c r="A711" s="10"/>
      <c r="B711" s="119" t="s">
        <v>32</v>
      </c>
      <c r="C711" s="12"/>
      <c r="D711" s="12"/>
      <c r="E711" s="377">
        <v>205416</v>
      </c>
      <c r="F711" s="33">
        <v>172542.89</v>
      </c>
      <c r="G711" s="20">
        <f t="shared" si="36"/>
        <v>83.996811348677809</v>
      </c>
      <c r="H711" s="54"/>
      <c r="I711" s="14"/>
      <c r="J711" s="14"/>
      <c r="K711" s="14"/>
    </row>
    <row r="712" spans="1:11" ht="18.75" customHeight="1" x14ac:dyDescent="0.25">
      <c r="A712" s="10"/>
      <c r="B712" s="119" t="s">
        <v>33</v>
      </c>
      <c r="C712" s="12"/>
      <c r="D712" s="12"/>
      <c r="E712" s="377">
        <v>96949</v>
      </c>
      <c r="F712" s="33">
        <v>92076.5</v>
      </c>
      <c r="G712" s="20">
        <v>0</v>
      </c>
      <c r="H712" s="54"/>
      <c r="I712" s="14"/>
      <c r="J712" s="14"/>
      <c r="K712" s="14"/>
    </row>
    <row r="713" spans="1:11" ht="19.5" customHeight="1" x14ac:dyDescent="0.25">
      <c r="A713" s="10"/>
      <c r="B713" s="119" t="s">
        <v>34</v>
      </c>
      <c r="C713" s="12"/>
      <c r="D713" s="12"/>
      <c r="E713" s="377">
        <v>850980</v>
      </c>
      <c r="F713" s="33">
        <v>1024918.12</v>
      </c>
      <c r="G713" s="20">
        <f t="shared" si="36"/>
        <v>120.43974241462784</v>
      </c>
      <c r="H713" s="54"/>
      <c r="I713" s="14"/>
      <c r="J713" s="14"/>
      <c r="K713" s="14"/>
    </row>
    <row r="714" spans="1:11" ht="36" customHeight="1" x14ac:dyDescent="0.25">
      <c r="A714" s="10" t="s">
        <v>559</v>
      </c>
      <c r="B714" s="18" t="s">
        <v>314</v>
      </c>
      <c r="C714" s="17" t="s">
        <v>26</v>
      </c>
      <c r="D714" s="17" t="s">
        <v>280</v>
      </c>
      <c r="E714" s="377">
        <f>E715</f>
        <v>824943.4</v>
      </c>
      <c r="F714" s="377">
        <f>F715</f>
        <v>1081713.17</v>
      </c>
      <c r="G714" s="20">
        <f t="shared" si="36"/>
        <v>131.12574389952084</v>
      </c>
      <c r="H714" s="54">
        <v>100</v>
      </c>
      <c r="I714" s="14"/>
      <c r="J714" s="23" t="s">
        <v>555</v>
      </c>
      <c r="K714" s="14"/>
    </row>
    <row r="715" spans="1:11" ht="21.75" customHeight="1" x14ac:dyDescent="0.25">
      <c r="A715" s="10"/>
      <c r="B715" s="24" t="s">
        <v>312</v>
      </c>
      <c r="C715" s="12"/>
      <c r="D715" s="12"/>
      <c r="E715" s="378">
        <f>E716+E717+E718+E719+E720+E721</f>
        <v>824943.4</v>
      </c>
      <c r="F715" s="378">
        <f>F716+F717+F718+F719+F720+F721</f>
        <v>1081713.17</v>
      </c>
      <c r="G715" s="117">
        <f t="shared" si="36"/>
        <v>131.12574389952084</v>
      </c>
      <c r="H715" s="13"/>
      <c r="I715" s="14"/>
      <c r="J715" s="14"/>
      <c r="K715" s="14"/>
    </row>
    <row r="716" spans="1:11" ht="21.75" customHeight="1" x14ac:dyDescent="0.25">
      <c r="A716" s="10"/>
      <c r="B716" s="119" t="s">
        <v>28</v>
      </c>
      <c r="C716" s="12"/>
      <c r="D716" s="12"/>
      <c r="E716" s="377">
        <v>1000</v>
      </c>
      <c r="F716" s="33">
        <v>999</v>
      </c>
      <c r="G716" s="20">
        <f t="shared" si="36"/>
        <v>99.9</v>
      </c>
      <c r="H716" s="54"/>
      <c r="I716" s="14"/>
      <c r="J716" s="14"/>
      <c r="K716" s="14"/>
    </row>
    <row r="717" spans="1:11" ht="21.75" customHeight="1" x14ac:dyDescent="0.25">
      <c r="A717" s="10"/>
      <c r="B717" s="119" t="s">
        <v>29</v>
      </c>
      <c r="C717" s="12"/>
      <c r="D717" s="12"/>
      <c r="E717" s="377">
        <v>1200</v>
      </c>
      <c r="F717" s="33">
        <v>9992.16</v>
      </c>
      <c r="G717" s="20">
        <f t="shared" si="36"/>
        <v>832.68000000000006</v>
      </c>
      <c r="H717" s="54"/>
      <c r="I717" s="14"/>
      <c r="J717" s="14"/>
      <c r="K717" s="14"/>
    </row>
    <row r="718" spans="1:11" ht="21.75" customHeight="1" x14ac:dyDescent="0.25">
      <c r="A718" s="10"/>
      <c r="B718" s="119" t="s">
        <v>31</v>
      </c>
      <c r="C718" s="12"/>
      <c r="D718" s="12"/>
      <c r="E718" s="377">
        <v>50000</v>
      </c>
      <c r="F718" s="33">
        <v>66499.97</v>
      </c>
      <c r="G718" s="20">
        <f t="shared" si="36"/>
        <v>132.99993999999998</v>
      </c>
      <c r="H718" s="54"/>
      <c r="I718" s="14"/>
      <c r="J718" s="14"/>
      <c r="K718" s="14"/>
    </row>
    <row r="719" spans="1:11" ht="21.75" customHeight="1" x14ac:dyDescent="0.25">
      <c r="A719" s="10"/>
      <c r="B719" s="119" t="s">
        <v>32</v>
      </c>
      <c r="C719" s="12"/>
      <c r="D719" s="12"/>
      <c r="E719" s="377">
        <v>73800</v>
      </c>
      <c r="F719" s="33">
        <v>88222</v>
      </c>
      <c r="G719" s="20">
        <f t="shared" si="36"/>
        <v>119.5420054200542</v>
      </c>
      <c r="H719" s="54"/>
      <c r="I719" s="14"/>
      <c r="J719" s="14"/>
      <c r="K719" s="14"/>
    </row>
    <row r="720" spans="1:11" ht="21.75" customHeight="1" x14ac:dyDescent="0.25">
      <c r="A720" s="10"/>
      <c r="B720" s="119" t="s">
        <v>33</v>
      </c>
      <c r="C720" s="12"/>
      <c r="D720" s="12"/>
      <c r="E720" s="377">
        <v>116770</v>
      </c>
      <c r="F720" s="33">
        <v>111223.96</v>
      </c>
      <c r="G720" s="20">
        <f t="shared" si="36"/>
        <v>95.250458165624735</v>
      </c>
      <c r="H720" s="54"/>
      <c r="I720" s="14"/>
      <c r="J720" s="14"/>
      <c r="K720" s="14"/>
    </row>
    <row r="721" spans="1:11" ht="21.75" customHeight="1" x14ac:dyDescent="0.25">
      <c r="A721" s="10"/>
      <c r="B721" s="119" t="s">
        <v>34</v>
      </c>
      <c r="C721" s="12"/>
      <c r="D721" s="12"/>
      <c r="E721" s="377">
        <v>582173.4</v>
      </c>
      <c r="F721" s="33">
        <v>804776.08</v>
      </c>
      <c r="G721" s="20">
        <f t="shared" si="36"/>
        <v>138.23649105232221</v>
      </c>
      <c r="H721" s="54"/>
      <c r="I721" s="14"/>
      <c r="J721" s="14"/>
      <c r="K721" s="14"/>
    </row>
    <row r="722" spans="1:11" ht="70.5" customHeight="1" x14ac:dyDescent="0.25">
      <c r="A722" s="10" t="s">
        <v>560</v>
      </c>
      <c r="B722" s="18" t="s">
        <v>315</v>
      </c>
      <c r="C722" s="17" t="s">
        <v>26</v>
      </c>
      <c r="D722" s="17" t="s">
        <v>280</v>
      </c>
      <c r="E722" s="377">
        <f>E723</f>
        <v>158000</v>
      </c>
      <c r="F722" s="377">
        <f>F723</f>
        <v>307329.93</v>
      </c>
      <c r="G722" s="20">
        <f t="shared" si="36"/>
        <v>194.51261392405064</v>
      </c>
      <c r="H722" s="54">
        <v>100</v>
      </c>
      <c r="I722" s="14"/>
      <c r="J722" s="23" t="s">
        <v>555</v>
      </c>
      <c r="K722" s="14"/>
    </row>
    <row r="723" spans="1:11" ht="21.75" customHeight="1" x14ac:dyDescent="0.25">
      <c r="A723" s="10"/>
      <c r="B723" s="24" t="s">
        <v>312</v>
      </c>
      <c r="C723" s="12"/>
      <c r="D723" s="12"/>
      <c r="E723" s="378">
        <f>E724+E725</f>
        <v>158000</v>
      </c>
      <c r="F723" s="378">
        <f>F724+F725</f>
        <v>307329.93</v>
      </c>
      <c r="G723" s="117">
        <f t="shared" si="36"/>
        <v>194.51261392405064</v>
      </c>
      <c r="H723" s="13"/>
      <c r="I723" s="14"/>
      <c r="J723" s="14"/>
      <c r="K723" s="14"/>
    </row>
    <row r="724" spans="1:11" ht="21.75" customHeight="1" x14ac:dyDescent="0.25">
      <c r="A724" s="10"/>
      <c r="B724" s="119" t="s">
        <v>29</v>
      </c>
      <c r="C724" s="12"/>
      <c r="D724" s="12"/>
      <c r="E724" s="377">
        <v>50000</v>
      </c>
      <c r="F724" s="33">
        <v>199359.2</v>
      </c>
      <c r="G724" s="20">
        <f t="shared" si="36"/>
        <v>398.71840000000003</v>
      </c>
      <c r="H724" s="54"/>
      <c r="I724" s="14"/>
      <c r="J724" s="14"/>
      <c r="K724" s="14"/>
    </row>
    <row r="725" spans="1:11" ht="21.75" customHeight="1" x14ac:dyDescent="0.25">
      <c r="A725" s="10"/>
      <c r="B725" s="119" t="s">
        <v>34</v>
      </c>
      <c r="C725" s="12"/>
      <c r="D725" s="12"/>
      <c r="E725" s="377">
        <v>108000</v>
      </c>
      <c r="F725" s="33">
        <v>107970.73</v>
      </c>
      <c r="G725" s="20">
        <f t="shared" si="36"/>
        <v>99.972898148148147</v>
      </c>
      <c r="H725" s="54"/>
      <c r="I725" s="14"/>
      <c r="J725" s="14"/>
      <c r="K725" s="14"/>
    </row>
    <row r="726" spans="1:11" ht="51.75" customHeight="1" x14ac:dyDescent="0.25">
      <c r="A726" s="10" t="s">
        <v>561</v>
      </c>
      <c r="B726" s="119" t="s">
        <v>316</v>
      </c>
      <c r="C726" s="17" t="s">
        <v>26</v>
      </c>
      <c r="D726" s="17" t="s">
        <v>280</v>
      </c>
      <c r="E726" s="377">
        <f>E727</f>
        <v>1414900</v>
      </c>
      <c r="F726" s="377">
        <f>F727</f>
        <v>1409880.75</v>
      </c>
      <c r="G726" s="20">
        <f t="shared" si="36"/>
        <v>99.64525761537918</v>
      </c>
      <c r="H726" s="54">
        <v>100</v>
      </c>
      <c r="I726" s="14"/>
      <c r="J726" s="23" t="s">
        <v>555</v>
      </c>
      <c r="K726" s="14"/>
    </row>
    <row r="727" spans="1:11" ht="21.75" customHeight="1" x14ac:dyDescent="0.25">
      <c r="A727" s="10"/>
      <c r="B727" s="24" t="s">
        <v>312</v>
      </c>
      <c r="C727" s="12"/>
      <c r="D727" s="12"/>
      <c r="E727" s="378">
        <f>E728+E729</f>
        <v>1414900</v>
      </c>
      <c r="F727" s="378">
        <f>F728+F729</f>
        <v>1409880.75</v>
      </c>
      <c r="G727" s="117">
        <f t="shared" si="36"/>
        <v>99.64525761537918</v>
      </c>
      <c r="H727" s="13"/>
      <c r="I727" s="14"/>
      <c r="J727" s="14"/>
      <c r="K727" s="14"/>
    </row>
    <row r="728" spans="1:11" ht="21.75" customHeight="1" x14ac:dyDescent="0.25">
      <c r="A728" s="10"/>
      <c r="B728" s="119" t="s">
        <v>32</v>
      </c>
      <c r="C728" s="12"/>
      <c r="D728" s="12"/>
      <c r="E728" s="377">
        <v>1395900</v>
      </c>
      <c r="F728" s="33">
        <v>1395880.75</v>
      </c>
      <c r="G728" s="20">
        <f t="shared" si="36"/>
        <v>99.998620961386919</v>
      </c>
      <c r="H728" s="54"/>
      <c r="I728" s="14"/>
      <c r="J728" s="14"/>
      <c r="K728" s="14"/>
    </row>
    <row r="729" spans="1:11" ht="21.75" customHeight="1" x14ac:dyDescent="0.25">
      <c r="A729" s="10"/>
      <c r="B729" s="119" t="s">
        <v>34</v>
      </c>
      <c r="C729" s="12"/>
      <c r="D729" s="12"/>
      <c r="E729" s="377">
        <v>19000</v>
      </c>
      <c r="F729" s="33">
        <v>14000</v>
      </c>
      <c r="G729" s="20">
        <f t="shared" si="36"/>
        <v>73.68421052631578</v>
      </c>
      <c r="H729" s="54"/>
      <c r="I729" s="14"/>
      <c r="J729" s="14"/>
      <c r="K729" s="14"/>
    </row>
    <row r="730" spans="1:11" ht="31.5" customHeight="1" x14ac:dyDescent="0.25">
      <c r="A730" s="10" t="s">
        <v>562</v>
      </c>
      <c r="B730" s="119" t="s">
        <v>563</v>
      </c>
      <c r="C730" s="17" t="s">
        <v>564</v>
      </c>
      <c r="D730" s="17" t="s">
        <v>280</v>
      </c>
      <c r="E730" s="377">
        <f>E731</f>
        <v>2000</v>
      </c>
      <c r="F730" s="377">
        <f>F731</f>
        <v>2000</v>
      </c>
      <c r="G730" s="20">
        <f t="shared" si="36"/>
        <v>100</v>
      </c>
      <c r="H730" s="54">
        <v>100</v>
      </c>
      <c r="I730" s="14"/>
      <c r="J730" s="23" t="s">
        <v>555</v>
      </c>
      <c r="K730" s="14"/>
    </row>
    <row r="731" spans="1:11" ht="21.75" customHeight="1" x14ac:dyDescent="0.25">
      <c r="A731" s="10"/>
      <c r="B731" s="24" t="s">
        <v>27</v>
      </c>
      <c r="C731" s="12"/>
      <c r="D731" s="12"/>
      <c r="E731" s="378">
        <f>E732</f>
        <v>2000</v>
      </c>
      <c r="F731" s="378">
        <f>F732</f>
        <v>2000</v>
      </c>
      <c r="G731" s="117">
        <f t="shared" si="36"/>
        <v>100</v>
      </c>
      <c r="H731" s="13"/>
      <c r="I731" s="14"/>
      <c r="J731" s="14"/>
      <c r="K731" s="14"/>
    </row>
    <row r="732" spans="1:11" ht="21.75" customHeight="1" x14ac:dyDescent="0.25">
      <c r="A732" s="10"/>
      <c r="B732" s="119" t="s">
        <v>32</v>
      </c>
      <c r="C732" s="12"/>
      <c r="D732" s="12"/>
      <c r="E732" s="118">
        <v>2000</v>
      </c>
      <c r="F732" s="118">
        <v>2000</v>
      </c>
      <c r="G732" s="20">
        <f t="shared" si="36"/>
        <v>100</v>
      </c>
      <c r="H732" s="54"/>
      <c r="I732" s="14"/>
      <c r="J732" s="14"/>
      <c r="K732" s="14"/>
    </row>
    <row r="733" spans="1:11" ht="79.5" customHeight="1" x14ac:dyDescent="0.25">
      <c r="A733" s="10" t="s">
        <v>565</v>
      </c>
      <c r="B733" s="18" t="s">
        <v>318</v>
      </c>
      <c r="C733" s="17" t="s">
        <v>317</v>
      </c>
      <c r="D733" s="17" t="s">
        <v>280</v>
      </c>
      <c r="E733" s="377">
        <f>E734</f>
        <v>13500</v>
      </c>
      <c r="F733" s="377">
        <f>F734</f>
        <v>11980</v>
      </c>
      <c r="G733" s="20">
        <f t="shared" si="36"/>
        <v>88.740740740740748</v>
      </c>
      <c r="H733" s="54">
        <v>100</v>
      </c>
      <c r="I733" s="14"/>
      <c r="J733" s="23" t="s">
        <v>555</v>
      </c>
      <c r="K733" s="14"/>
    </row>
    <row r="734" spans="1:11" ht="21.75" customHeight="1" x14ac:dyDescent="0.25">
      <c r="A734" s="10"/>
      <c r="B734" s="24" t="s">
        <v>312</v>
      </c>
      <c r="C734" s="12"/>
      <c r="D734" s="12"/>
      <c r="E734" s="378">
        <f>E735+E736+E737</f>
        <v>13500</v>
      </c>
      <c r="F734" s="378">
        <f>F735+F736+F737</f>
        <v>11980</v>
      </c>
      <c r="G734" s="117">
        <f t="shared" si="36"/>
        <v>88.740740740740748</v>
      </c>
      <c r="H734" s="13"/>
      <c r="I734" s="14"/>
      <c r="J734" s="14"/>
      <c r="K734" s="14"/>
    </row>
    <row r="735" spans="1:11" ht="21.75" customHeight="1" x14ac:dyDescent="0.25">
      <c r="A735" s="10"/>
      <c r="B735" s="119" t="s">
        <v>28</v>
      </c>
      <c r="C735" s="12"/>
      <c r="D735" s="12"/>
      <c r="E735" s="118">
        <v>1000</v>
      </c>
      <c r="F735" s="33">
        <v>790</v>
      </c>
      <c r="G735" s="20">
        <f t="shared" si="36"/>
        <v>79</v>
      </c>
      <c r="H735" s="54"/>
      <c r="I735" s="14"/>
      <c r="J735" s="14"/>
      <c r="K735" s="14"/>
    </row>
    <row r="736" spans="1:11" ht="21.75" customHeight="1" x14ac:dyDescent="0.25">
      <c r="A736" s="10"/>
      <c r="B736" s="119" t="s">
        <v>29</v>
      </c>
      <c r="C736" s="12"/>
      <c r="D736" s="12"/>
      <c r="E736" s="118">
        <v>2500</v>
      </c>
      <c r="F736" s="118">
        <v>2500</v>
      </c>
      <c r="G736" s="20">
        <f t="shared" si="36"/>
        <v>100</v>
      </c>
      <c r="H736" s="54"/>
      <c r="I736" s="14"/>
      <c r="J736" s="14"/>
      <c r="K736" s="14"/>
    </row>
    <row r="737" spans="1:11" ht="21.75" customHeight="1" x14ac:dyDescent="0.25">
      <c r="A737" s="10"/>
      <c r="B737" s="119" t="s">
        <v>32</v>
      </c>
      <c r="C737" s="12"/>
      <c r="D737" s="12"/>
      <c r="E737" s="118">
        <v>10000</v>
      </c>
      <c r="F737" s="33">
        <v>8690</v>
      </c>
      <c r="G737" s="20">
        <f t="shared" si="36"/>
        <v>86.9</v>
      </c>
      <c r="H737" s="54"/>
      <c r="I737" s="14"/>
      <c r="J737" s="14"/>
      <c r="K737" s="14"/>
    </row>
    <row r="738" spans="1:11" ht="49.5" customHeight="1" x14ac:dyDescent="0.25">
      <c r="A738" s="10" t="s">
        <v>566</v>
      </c>
      <c r="B738" s="18" t="s">
        <v>319</v>
      </c>
      <c r="C738" s="17" t="s">
        <v>26</v>
      </c>
      <c r="D738" s="17" t="s">
        <v>280</v>
      </c>
      <c r="E738" s="377">
        <f>E739</f>
        <v>1049990</v>
      </c>
      <c r="F738" s="377">
        <f>F739</f>
        <v>1445914.82</v>
      </c>
      <c r="G738" s="20">
        <f t="shared" si="36"/>
        <v>137.70748483318889</v>
      </c>
      <c r="H738" s="54">
        <v>100</v>
      </c>
      <c r="I738" s="14"/>
      <c r="J738" s="23" t="s">
        <v>555</v>
      </c>
      <c r="K738" s="14"/>
    </row>
    <row r="739" spans="1:11" ht="21.75" customHeight="1" x14ac:dyDescent="0.25">
      <c r="A739" s="10"/>
      <c r="B739" s="24" t="s">
        <v>312</v>
      </c>
      <c r="C739" s="12"/>
      <c r="D739" s="12"/>
      <c r="E739" s="378">
        <f>E740+E742+E743+E744+E745</f>
        <v>1049990</v>
      </c>
      <c r="F739" s="378">
        <f>F740+F741+ F742+F743+F744+F745</f>
        <v>1445914.82</v>
      </c>
      <c r="G739" s="117">
        <f t="shared" si="36"/>
        <v>137.70748483318889</v>
      </c>
      <c r="H739" s="13"/>
      <c r="I739" s="14"/>
      <c r="J739" s="14"/>
      <c r="K739" s="14"/>
    </row>
    <row r="740" spans="1:11" ht="21.75" customHeight="1" x14ac:dyDescent="0.25">
      <c r="A740" s="10"/>
      <c r="B740" s="119" t="s">
        <v>28</v>
      </c>
      <c r="C740" s="12"/>
      <c r="D740" s="12"/>
      <c r="E740" s="118">
        <v>532230</v>
      </c>
      <c r="F740" s="33">
        <v>397925</v>
      </c>
      <c r="G740" s="20">
        <f t="shared" si="36"/>
        <v>74.765608853315285</v>
      </c>
      <c r="H740" s="54"/>
      <c r="I740" s="14"/>
      <c r="J740" s="14"/>
      <c r="K740" s="14"/>
    </row>
    <row r="741" spans="1:11" ht="21.75" customHeight="1" x14ac:dyDescent="0.25">
      <c r="A741" s="10"/>
      <c r="B741" s="119" t="s">
        <v>29</v>
      </c>
      <c r="C741" s="12"/>
      <c r="D741" s="12"/>
      <c r="E741" s="118"/>
      <c r="F741" s="33">
        <v>3997</v>
      </c>
      <c r="G741" s="20"/>
      <c r="H741" s="54"/>
      <c r="I741" s="14"/>
      <c r="J741" s="14"/>
      <c r="K741" s="14"/>
    </row>
    <row r="742" spans="1:11" ht="21.75" customHeight="1" x14ac:dyDescent="0.25">
      <c r="A742" s="10"/>
      <c r="B742" s="119" t="s">
        <v>31</v>
      </c>
      <c r="C742" s="12"/>
      <c r="D742" s="12"/>
      <c r="E742" s="118">
        <v>204683</v>
      </c>
      <c r="F742" s="33">
        <v>433847</v>
      </c>
      <c r="G742" s="20">
        <f t="shared" si="36"/>
        <v>211.96044615331999</v>
      </c>
      <c r="H742" s="54"/>
      <c r="I742" s="14"/>
      <c r="J742" s="14"/>
      <c r="K742" s="14"/>
    </row>
    <row r="743" spans="1:11" ht="21.75" customHeight="1" x14ac:dyDescent="0.25">
      <c r="A743" s="10"/>
      <c r="B743" s="119" t="s">
        <v>32</v>
      </c>
      <c r="C743" s="12"/>
      <c r="D743" s="12"/>
      <c r="E743" s="118">
        <v>123177</v>
      </c>
      <c r="F743" s="33">
        <v>255978.51</v>
      </c>
      <c r="G743" s="20">
        <f t="shared" ref="G743:G771" si="37">F743/E743*100</f>
        <v>207.81356097323368</v>
      </c>
      <c r="H743" s="54"/>
      <c r="I743" s="14"/>
      <c r="J743" s="14"/>
      <c r="K743" s="14"/>
    </row>
    <row r="744" spans="1:11" ht="21.75" customHeight="1" x14ac:dyDescent="0.25">
      <c r="A744" s="10"/>
      <c r="B744" s="119" t="s">
        <v>33</v>
      </c>
      <c r="C744" s="12"/>
      <c r="D744" s="12"/>
      <c r="E744" s="118">
        <v>7200</v>
      </c>
      <c r="F744" s="33">
        <v>96278</v>
      </c>
      <c r="G744" s="20">
        <f t="shared" si="37"/>
        <v>1337.1944444444446</v>
      </c>
      <c r="H744" s="54"/>
      <c r="I744" s="14"/>
      <c r="J744" s="14"/>
      <c r="K744" s="14"/>
    </row>
    <row r="745" spans="1:11" ht="21.75" customHeight="1" x14ac:dyDescent="0.25">
      <c r="A745" s="10"/>
      <c r="B745" s="119" t="s">
        <v>34</v>
      </c>
      <c r="C745" s="12"/>
      <c r="D745" s="12"/>
      <c r="E745" s="118">
        <v>182700</v>
      </c>
      <c r="F745" s="33">
        <v>257889.31</v>
      </c>
      <c r="G745" s="20">
        <f t="shared" si="37"/>
        <v>141.15452107279694</v>
      </c>
      <c r="H745" s="54"/>
      <c r="I745" s="14"/>
      <c r="J745" s="14"/>
      <c r="K745" s="14"/>
    </row>
    <row r="746" spans="1:11" ht="65.25" customHeight="1" x14ac:dyDescent="0.25">
      <c r="A746" s="10" t="s">
        <v>567</v>
      </c>
      <c r="B746" s="18" t="s">
        <v>320</v>
      </c>
      <c r="C746" s="17" t="s">
        <v>26</v>
      </c>
      <c r="D746" s="17" t="s">
        <v>280</v>
      </c>
      <c r="E746" s="377">
        <f>E747</f>
        <v>371682.6</v>
      </c>
      <c r="F746" s="377">
        <f>F747</f>
        <v>321156.88</v>
      </c>
      <c r="G746" s="20">
        <f t="shared" si="37"/>
        <v>86.406218639236826</v>
      </c>
      <c r="H746" s="54">
        <v>100</v>
      </c>
      <c r="I746" s="14"/>
      <c r="J746" s="23" t="s">
        <v>555</v>
      </c>
      <c r="K746" s="14"/>
    </row>
    <row r="747" spans="1:11" ht="21.75" customHeight="1" x14ac:dyDescent="0.25">
      <c r="A747" s="10"/>
      <c r="B747" s="24" t="s">
        <v>312</v>
      </c>
      <c r="C747" s="12"/>
      <c r="D747" s="12"/>
      <c r="E747" s="377">
        <f>E748+E749+E750+E751+E752+E753+E754</f>
        <v>371682.6</v>
      </c>
      <c r="F747" s="378">
        <f>F748+F749+F750+F751+F752+F753+F754</f>
        <v>321156.88</v>
      </c>
      <c r="G747" s="117">
        <f t="shared" si="37"/>
        <v>86.406218639236826</v>
      </c>
      <c r="H747" s="13"/>
      <c r="I747" s="14"/>
      <c r="J747" s="14"/>
      <c r="K747" s="14"/>
    </row>
    <row r="748" spans="1:11" ht="21.75" customHeight="1" x14ac:dyDescent="0.25">
      <c r="A748" s="10"/>
      <c r="B748" s="119" t="s">
        <v>28</v>
      </c>
      <c r="C748" s="12"/>
      <c r="D748" s="12"/>
      <c r="E748" s="377">
        <v>33405</v>
      </c>
      <c r="F748" s="33">
        <v>33530</v>
      </c>
      <c r="G748" s="20">
        <f t="shared" si="37"/>
        <v>100.37419547971859</v>
      </c>
      <c r="H748" s="54"/>
      <c r="I748" s="14"/>
      <c r="J748" s="14"/>
      <c r="K748" s="14"/>
    </row>
    <row r="749" spans="1:11" ht="21.75" customHeight="1" x14ac:dyDescent="0.25">
      <c r="A749" s="10"/>
      <c r="B749" s="119" t="s">
        <v>29</v>
      </c>
      <c r="C749" s="12"/>
      <c r="D749" s="12"/>
      <c r="E749" s="377">
        <v>63003</v>
      </c>
      <c r="F749" s="33">
        <v>25953.55</v>
      </c>
      <c r="G749" s="20">
        <f t="shared" si="37"/>
        <v>41.194149484945157</v>
      </c>
      <c r="H749" s="54"/>
      <c r="I749" s="14"/>
      <c r="J749" s="14"/>
      <c r="K749" s="14"/>
    </row>
    <row r="750" spans="1:11" ht="21.75" customHeight="1" x14ac:dyDescent="0.25">
      <c r="A750" s="10"/>
      <c r="B750" s="119" t="s">
        <v>30</v>
      </c>
      <c r="C750" s="12"/>
      <c r="D750" s="12"/>
      <c r="E750" s="377">
        <v>45000</v>
      </c>
      <c r="F750" s="33">
        <v>44226.9</v>
      </c>
      <c r="G750" s="20">
        <f t="shared" si="37"/>
        <v>98.281999999999996</v>
      </c>
      <c r="H750" s="54"/>
      <c r="I750" s="14"/>
      <c r="J750" s="14"/>
      <c r="K750" s="14"/>
    </row>
    <row r="751" spans="1:11" ht="21.75" customHeight="1" x14ac:dyDescent="0.25">
      <c r="A751" s="10"/>
      <c r="B751" s="119" t="s">
        <v>31</v>
      </c>
      <c r="C751" s="12"/>
      <c r="D751" s="12"/>
      <c r="E751" s="377">
        <v>19500</v>
      </c>
      <c r="F751" s="33">
        <v>17139.61</v>
      </c>
      <c r="G751" s="20">
        <f t="shared" si="37"/>
        <v>87.895435897435902</v>
      </c>
      <c r="H751" s="54"/>
      <c r="I751" s="14"/>
      <c r="J751" s="14"/>
      <c r="K751" s="14"/>
    </row>
    <row r="752" spans="1:11" ht="21.75" customHeight="1" x14ac:dyDescent="0.25">
      <c r="A752" s="10"/>
      <c r="B752" s="119" t="s">
        <v>32</v>
      </c>
      <c r="C752" s="12"/>
      <c r="D752" s="12"/>
      <c r="E752" s="377">
        <v>30000</v>
      </c>
      <c r="F752" s="33">
        <v>29862.51</v>
      </c>
      <c r="G752" s="20">
        <f t="shared" si="37"/>
        <v>99.541700000000006</v>
      </c>
      <c r="H752" s="54"/>
      <c r="I752" s="14"/>
      <c r="J752" s="14"/>
      <c r="K752" s="14"/>
    </row>
    <row r="753" spans="1:11" ht="21.75" customHeight="1" x14ac:dyDescent="0.25">
      <c r="A753" s="10"/>
      <c r="B753" s="119" t="s">
        <v>33</v>
      </c>
      <c r="C753" s="12"/>
      <c r="D753" s="12"/>
      <c r="E753" s="377">
        <v>70000</v>
      </c>
      <c r="F753" s="33">
        <v>69999.66</v>
      </c>
      <c r="G753" s="20">
        <f t="shared" si="37"/>
        <v>99.999514285714284</v>
      </c>
      <c r="H753" s="54"/>
      <c r="I753" s="14"/>
      <c r="J753" s="14"/>
      <c r="K753" s="14"/>
    </row>
    <row r="754" spans="1:11" ht="21.75" customHeight="1" x14ac:dyDescent="0.25">
      <c r="A754" s="10"/>
      <c r="B754" s="119" t="s">
        <v>34</v>
      </c>
      <c r="C754" s="12"/>
      <c r="D754" s="12"/>
      <c r="E754" s="377">
        <v>110774.6</v>
      </c>
      <c r="F754" s="33">
        <v>100444.65</v>
      </c>
      <c r="G754" s="20">
        <f t="shared" si="37"/>
        <v>90.674802707479856</v>
      </c>
      <c r="H754" s="54"/>
      <c r="I754" s="14"/>
      <c r="J754" s="14"/>
      <c r="K754" s="14"/>
    </row>
    <row r="755" spans="1:11" ht="33" customHeight="1" x14ac:dyDescent="0.25">
      <c r="A755" s="10" t="s">
        <v>568</v>
      </c>
      <c r="B755" s="18" t="s">
        <v>321</v>
      </c>
      <c r="C755" s="17" t="s">
        <v>569</v>
      </c>
      <c r="D755" s="17" t="s">
        <v>280</v>
      </c>
      <c r="E755" s="377">
        <f>E756</f>
        <v>1200</v>
      </c>
      <c r="F755" s="377">
        <f>F756</f>
        <v>722.22</v>
      </c>
      <c r="G755" s="20">
        <f t="shared" si="37"/>
        <v>60.185000000000002</v>
      </c>
      <c r="H755" s="54">
        <v>100</v>
      </c>
      <c r="I755" s="14"/>
      <c r="J755" s="23" t="s">
        <v>555</v>
      </c>
      <c r="K755" s="14"/>
    </row>
    <row r="756" spans="1:11" s="263" customFormat="1" ht="21.75" customHeight="1" x14ac:dyDescent="0.25">
      <c r="A756" s="277"/>
      <c r="B756" s="24" t="s">
        <v>27</v>
      </c>
      <c r="C756" s="278"/>
      <c r="D756" s="278"/>
      <c r="E756" s="378">
        <f>E757</f>
        <v>1200</v>
      </c>
      <c r="F756" s="378">
        <f>F757</f>
        <v>722.22</v>
      </c>
      <c r="G756" s="117">
        <f t="shared" si="37"/>
        <v>60.185000000000002</v>
      </c>
      <c r="H756" s="280"/>
      <c r="I756" s="279"/>
      <c r="J756" s="279"/>
      <c r="K756" s="279"/>
    </row>
    <row r="757" spans="1:11" ht="21.75" customHeight="1" x14ac:dyDescent="0.25">
      <c r="A757" s="10"/>
      <c r="B757" s="119" t="s">
        <v>28</v>
      </c>
      <c r="C757" s="12"/>
      <c r="D757" s="12"/>
      <c r="E757" s="377">
        <v>1200</v>
      </c>
      <c r="F757" s="33">
        <v>722.22</v>
      </c>
      <c r="G757" s="20">
        <f t="shared" si="37"/>
        <v>60.185000000000002</v>
      </c>
      <c r="H757" s="54"/>
      <c r="I757" s="14"/>
      <c r="J757" s="14"/>
      <c r="K757" s="14"/>
    </row>
    <row r="758" spans="1:11" ht="95.25" customHeight="1" x14ac:dyDescent="0.25">
      <c r="A758" s="10" t="s">
        <v>570</v>
      </c>
      <c r="B758" s="18" t="s">
        <v>571</v>
      </c>
      <c r="C758" s="17" t="s">
        <v>210</v>
      </c>
      <c r="D758" s="17">
        <v>2017</v>
      </c>
      <c r="E758" s="377">
        <f>E759</f>
        <v>97376.05</v>
      </c>
      <c r="F758" s="377">
        <f>F759</f>
        <v>63386.2</v>
      </c>
      <c r="G758" s="20">
        <f t="shared" si="37"/>
        <v>65.09424031884636</v>
      </c>
      <c r="H758" s="54">
        <v>100</v>
      </c>
      <c r="I758" s="23"/>
      <c r="J758" s="37" t="s">
        <v>380</v>
      </c>
      <c r="K758" s="14"/>
    </row>
    <row r="759" spans="1:11" ht="21.75" customHeight="1" x14ac:dyDescent="0.25">
      <c r="A759" s="10"/>
      <c r="B759" s="24" t="s">
        <v>27</v>
      </c>
      <c r="C759" s="12"/>
      <c r="D759" s="12"/>
      <c r="E759" s="378">
        <f>E760</f>
        <v>97376.05</v>
      </c>
      <c r="F759" s="378">
        <f>F760</f>
        <v>63386.2</v>
      </c>
      <c r="G759" s="117">
        <f t="shared" si="37"/>
        <v>65.09424031884636</v>
      </c>
      <c r="H759" s="13"/>
      <c r="I759" s="14"/>
      <c r="J759" s="14"/>
      <c r="K759" s="14"/>
    </row>
    <row r="760" spans="1:11" ht="21.75" customHeight="1" x14ac:dyDescent="0.25">
      <c r="A760" s="10"/>
      <c r="B760" s="119" t="s">
        <v>34</v>
      </c>
      <c r="C760" s="12"/>
      <c r="D760" s="12"/>
      <c r="E760" s="377">
        <v>97376.05</v>
      </c>
      <c r="F760" s="33">
        <v>63386.2</v>
      </c>
      <c r="G760" s="20">
        <f t="shared" si="37"/>
        <v>65.09424031884636</v>
      </c>
      <c r="H760" s="13"/>
      <c r="I760" s="14"/>
      <c r="J760" s="14"/>
      <c r="K760" s="14"/>
    </row>
    <row r="761" spans="1:11" ht="51" customHeight="1" x14ac:dyDescent="0.25">
      <c r="A761" s="10" t="s">
        <v>572</v>
      </c>
      <c r="B761" s="18" t="s">
        <v>322</v>
      </c>
      <c r="C761" s="17" t="s">
        <v>317</v>
      </c>
      <c r="D761" s="17" t="s">
        <v>280</v>
      </c>
      <c r="E761" s="377">
        <f>E762</f>
        <v>663351</v>
      </c>
      <c r="F761" s="377">
        <f>F762</f>
        <v>662164.3899999999</v>
      </c>
      <c r="G761" s="20">
        <f t="shared" si="37"/>
        <v>99.821118834523489</v>
      </c>
      <c r="H761" s="54">
        <v>100</v>
      </c>
      <c r="I761" s="14"/>
      <c r="J761" s="23" t="s">
        <v>555</v>
      </c>
      <c r="K761" s="14"/>
    </row>
    <row r="762" spans="1:11" s="263" customFormat="1" ht="21.75" customHeight="1" x14ac:dyDescent="0.25">
      <c r="A762" s="277"/>
      <c r="B762" s="24" t="s">
        <v>27</v>
      </c>
      <c r="C762" s="278"/>
      <c r="D762" s="278"/>
      <c r="E762" s="378">
        <f>E763+E764+E765+E766+E767+E768</f>
        <v>663351</v>
      </c>
      <c r="F762" s="378">
        <f>F763+F764+F765+F766+F767+F768</f>
        <v>662164.3899999999</v>
      </c>
      <c r="G762" s="117">
        <f t="shared" si="37"/>
        <v>99.821118834523489</v>
      </c>
      <c r="H762" s="280"/>
      <c r="I762" s="279"/>
      <c r="J762" s="279"/>
      <c r="K762" s="279"/>
    </row>
    <row r="763" spans="1:11" ht="21.75" customHeight="1" x14ac:dyDescent="0.25">
      <c r="A763" s="10"/>
      <c r="B763" s="119" t="s">
        <v>28</v>
      </c>
      <c r="C763" s="12"/>
      <c r="D763" s="12"/>
      <c r="E763" s="377">
        <v>238432</v>
      </c>
      <c r="F763" s="33">
        <v>240943</v>
      </c>
      <c r="G763" s="20">
        <f t="shared" si="37"/>
        <v>101.05313045228827</v>
      </c>
      <c r="H763" s="54"/>
      <c r="I763" s="14"/>
      <c r="J763" s="14"/>
      <c r="K763" s="14"/>
    </row>
    <row r="764" spans="1:11" ht="21.75" customHeight="1" x14ac:dyDescent="0.25">
      <c r="A764" s="10"/>
      <c r="B764" s="119" t="s">
        <v>29</v>
      </c>
      <c r="C764" s="12"/>
      <c r="D764" s="12"/>
      <c r="E764" s="377">
        <v>172880</v>
      </c>
      <c r="F764" s="33">
        <v>166093.26999999999</v>
      </c>
      <c r="G764" s="20">
        <f t="shared" si="37"/>
        <v>96.074311661267927</v>
      </c>
      <c r="H764" s="54"/>
      <c r="I764" s="14"/>
      <c r="J764" s="14"/>
      <c r="K764" s="14"/>
    </row>
    <row r="765" spans="1:11" ht="21.75" customHeight="1" x14ac:dyDescent="0.25">
      <c r="A765" s="10"/>
      <c r="B765" s="119" t="s">
        <v>30</v>
      </c>
      <c r="C765" s="12"/>
      <c r="D765" s="12"/>
      <c r="E765" s="377">
        <v>65379</v>
      </c>
      <c r="F765" s="33">
        <v>69895.37</v>
      </c>
      <c r="G765" s="20">
        <f t="shared" si="37"/>
        <v>106.90798268557182</v>
      </c>
      <c r="H765" s="54"/>
      <c r="I765" s="14"/>
      <c r="J765" s="14"/>
      <c r="K765" s="14"/>
    </row>
    <row r="766" spans="1:11" ht="21.75" customHeight="1" x14ac:dyDescent="0.25">
      <c r="A766" s="10"/>
      <c r="B766" s="119" t="s">
        <v>31</v>
      </c>
      <c r="C766" s="12"/>
      <c r="D766" s="12"/>
      <c r="E766" s="377">
        <v>134567</v>
      </c>
      <c r="F766" s="33">
        <v>126923.21</v>
      </c>
      <c r="G766" s="20">
        <f t="shared" si="37"/>
        <v>94.319714343041014</v>
      </c>
      <c r="H766" s="54"/>
      <c r="I766" s="14"/>
      <c r="J766" s="14"/>
      <c r="K766" s="14"/>
    </row>
    <row r="767" spans="1:11" ht="19.5" customHeight="1" x14ac:dyDescent="0.25">
      <c r="A767" s="10"/>
      <c r="B767" s="119" t="s">
        <v>32</v>
      </c>
      <c r="C767" s="12"/>
      <c r="D767" s="12"/>
      <c r="E767" s="377">
        <v>52093</v>
      </c>
      <c r="F767" s="33">
        <v>54363.97</v>
      </c>
      <c r="G767" s="20">
        <f t="shared" si="37"/>
        <v>104.35945328547022</v>
      </c>
      <c r="H767" s="54"/>
      <c r="I767" s="14"/>
      <c r="J767" s="14"/>
      <c r="K767" s="14"/>
    </row>
    <row r="768" spans="1:11" ht="19.5" customHeight="1" x14ac:dyDescent="0.25">
      <c r="A768" s="10"/>
      <c r="B768" s="119" t="s">
        <v>33</v>
      </c>
      <c r="C768" s="12"/>
      <c r="D768" s="12"/>
      <c r="E768" s="377"/>
      <c r="F768" s="33">
        <v>3945.57</v>
      </c>
      <c r="G768" s="20"/>
      <c r="H768" s="54"/>
      <c r="I768" s="14"/>
      <c r="J768" s="14"/>
      <c r="K768" s="14"/>
    </row>
    <row r="769" spans="1:11" ht="19.5" customHeight="1" x14ac:dyDescent="0.25">
      <c r="A769" s="10"/>
      <c r="B769" s="28" t="s">
        <v>323</v>
      </c>
      <c r="C769" s="12"/>
      <c r="D769" s="12"/>
      <c r="E769" s="379">
        <f>E770+E771</f>
        <v>17751818.300000001</v>
      </c>
      <c r="F769" s="379">
        <f>F770+F771</f>
        <v>15353482.880000003</v>
      </c>
      <c r="G769" s="29">
        <f t="shared" si="37"/>
        <v>86.489635149093445</v>
      </c>
      <c r="H769" s="13"/>
      <c r="I769" s="14"/>
      <c r="J769" s="14"/>
      <c r="K769" s="14"/>
    </row>
    <row r="770" spans="1:11" s="263" customFormat="1" ht="18" customHeight="1" x14ac:dyDescent="0.25">
      <c r="A770" s="277"/>
      <c r="B770" s="24" t="s">
        <v>13</v>
      </c>
      <c r="C770" s="278"/>
      <c r="D770" s="278"/>
      <c r="E770" s="270">
        <f>E680+E682+E684+E686</f>
        <v>3836259</v>
      </c>
      <c r="F770" s="270">
        <f>F680+F682+F684+F686</f>
        <v>3539940.89</v>
      </c>
      <c r="G770" s="117">
        <f t="shared" si="37"/>
        <v>92.275857547678612</v>
      </c>
      <c r="H770" s="280"/>
      <c r="I770" s="279"/>
      <c r="J770" s="279"/>
      <c r="K770" s="279"/>
    </row>
    <row r="771" spans="1:11" s="263" customFormat="1" ht="19.5" customHeight="1" x14ac:dyDescent="0.25">
      <c r="A771" s="277"/>
      <c r="B771" s="24" t="s">
        <v>22</v>
      </c>
      <c r="C771" s="278"/>
      <c r="D771" s="278"/>
      <c r="E771" s="270">
        <f>E697+E706+E715+E723+E727++E731+E734+E739+E747+E756+E759+E762</f>
        <v>13915559.300000001</v>
      </c>
      <c r="F771" s="270">
        <f>F697+F706+F715+F723+F727++F731+F734+F739+F747+F756+F759+F762</f>
        <v>11813541.990000002</v>
      </c>
      <c r="G771" s="117">
        <f t="shared" si="37"/>
        <v>84.894482034940566</v>
      </c>
      <c r="H771" s="280"/>
      <c r="I771" s="279"/>
      <c r="J771" s="279"/>
      <c r="K771" s="279"/>
    </row>
    <row r="772" spans="1:11" ht="5.25" customHeight="1" x14ac:dyDescent="0.25">
      <c r="A772" s="10"/>
      <c r="B772" s="24"/>
      <c r="C772" s="12"/>
      <c r="D772" s="12"/>
      <c r="E772" s="121"/>
      <c r="F772" s="121"/>
      <c r="G772" s="117"/>
      <c r="H772" s="13"/>
      <c r="I772" s="14"/>
      <c r="J772" s="14"/>
      <c r="K772" s="14"/>
    </row>
    <row r="773" spans="1:11" ht="19.5" customHeight="1" x14ac:dyDescent="0.25">
      <c r="A773" s="10"/>
      <c r="B773" s="31" t="s">
        <v>263</v>
      </c>
      <c r="C773" s="12"/>
      <c r="D773" s="12"/>
      <c r="E773" s="49">
        <f>E774+E775+E776+E777</f>
        <v>76157183.299999997</v>
      </c>
      <c r="F773" s="49">
        <f>F774+F775+F776+F777</f>
        <v>46472998.730000004</v>
      </c>
      <c r="G773" s="29">
        <f t="shared" ref="G773:G777" si="38">F773/E773*100</f>
        <v>61.022475774783558</v>
      </c>
      <c r="H773" s="13"/>
      <c r="I773" s="123"/>
      <c r="J773" s="123"/>
      <c r="K773" s="116"/>
    </row>
    <row r="774" spans="1:11" s="263" customFormat="1" ht="19.5" customHeight="1" x14ac:dyDescent="0.25">
      <c r="A774" s="277"/>
      <c r="B774" s="32" t="s">
        <v>13</v>
      </c>
      <c r="C774" s="278"/>
      <c r="D774" s="278"/>
      <c r="E774" s="270">
        <f>E54+E129+E174+E507+E673+E770</f>
        <v>33652040</v>
      </c>
      <c r="F774" s="270">
        <f>F54+F129+F174+F507+F673+F770</f>
        <v>28744853.510000002</v>
      </c>
      <c r="G774" s="117">
        <f t="shared" si="38"/>
        <v>85.417863255838284</v>
      </c>
      <c r="H774" s="280"/>
      <c r="I774" s="123"/>
      <c r="J774" s="279"/>
      <c r="K774" s="279"/>
    </row>
    <row r="775" spans="1:11" s="263" customFormat="1" ht="19.5" customHeight="1" x14ac:dyDescent="0.25">
      <c r="A775" s="277"/>
      <c r="B775" s="32" t="s">
        <v>22</v>
      </c>
      <c r="C775" s="278"/>
      <c r="D775" s="278"/>
      <c r="E775" s="270">
        <f>E771+E508+E175</f>
        <v>23138898.300000001</v>
      </c>
      <c r="F775" s="270">
        <f>F771+F508+F175</f>
        <v>13463515.410000004</v>
      </c>
      <c r="G775" s="117">
        <f t="shared" si="38"/>
        <v>58.185637170115413</v>
      </c>
      <c r="H775" s="280"/>
      <c r="I775" s="123"/>
      <c r="J775" s="279"/>
      <c r="K775" s="279"/>
    </row>
    <row r="776" spans="1:11" s="263" customFormat="1" ht="19.5" customHeight="1" x14ac:dyDescent="0.25">
      <c r="A776" s="277"/>
      <c r="B776" s="32" t="s">
        <v>144</v>
      </c>
      <c r="C776" s="278"/>
      <c r="D776" s="278"/>
      <c r="E776" s="270">
        <f>E55+E130+E176+E509+E674</f>
        <v>19324745</v>
      </c>
      <c r="F776" s="270">
        <f>F55+F130+F176+F509+F674</f>
        <v>4189446.1100000003</v>
      </c>
      <c r="G776" s="117">
        <f t="shared" si="38"/>
        <v>21.679179259545212</v>
      </c>
      <c r="H776" s="280"/>
      <c r="I776" s="123"/>
      <c r="J776" s="279"/>
      <c r="K776" s="279"/>
    </row>
    <row r="777" spans="1:11" s="263" customFormat="1" ht="35.25" customHeight="1" x14ac:dyDescent="0.25">
      <c r="A777" s="277"/>
      <c r="B777" s="79" t="s">
        <v>139</v>
      </c>
      <c r="C777" s="278"/>
      <c r="D777" s="278"/>
      <c r="E777" s="270">
        <f>E675+E510</f>
        <v>41500</v>
      </c>
      <c r="F777" s="270">
        <f>F675+F510</f>
        <v>75183.7</v>
      </c>
      <c r="G777" s="117">
        <f t="shared" si="38"/>
        <v>181.16554216867468</v>
      </c>
      <c r="H777" s="280"/>
      <c r="I777" s="279"/>
      <c r="J777" s="279"/>
      <c r="K777" s="279"/>
    </row>
    <row r="778" spans="1:11" ht="19.5" customHeight="1" x14ac:dyDescent="0.25">
      <c r="A778" s="10"/>
      <c r="B778" s="24"/>
      <c r="C778" s="12"/>
      <c r="D778" s="12"/>
      <c r="E778" s="121"/>
      <c r="F778" s="121"/>
      <c r="G778" s="117"/>
      <c r="H778" s="13"/>
      <c r="I778" s="14"/>
      <c r="J778" s="14"/>
      <c r="K778" s="14"/>
    </row>
    <row r="779" spans="1:11" ht="19.5" customHeight="1" x14ac:dyDescent="0.25">
      <c r="A779" s="10"/>
      <c r="B779" s="24"/>
      <c r="C779" s="12"/>
      <c r="D779" s="12"/>
      <c r="E779" s="121"/>
      <c r="G779" s="117"/>
      <c r="H779" s="13"/>
      <c r="I779" s="14"/>
      <c r="J779" s="14"/>
      <c r="K779" s="14"/>
    </row>
    <row r="780" spans="1:11" x14ac:dyDescent="0.25">
      <c r="A780" s="124"/>
      <c r="H780" s="125"/>
      <c r="I780" s="126"/>
      <c r="J780" s="126"/>
      <c r="K780" s="126"/>
    </row>
    <row r="781" spans="1:11" x14ac:dyDescent="0.25">
      <c r="A781" s="124"/>
      <c r="H781" s="125"/>
      <c r="I781" s="126"/>
      <c r="J781" s="126"/>
      <c r="K781" s="126"/>
    </row>
    <row r="782" spans="1:11" x14ac:dyDescent="0.25">
      <c r="A782" s="124"/>
      <c r="H782" s="125"/>
      <c r="I782" s="126"/>
      <c r="J782" s="126"/>
      <c r="K782" s="126"/>
    </row>
    <row r="783" spans="1:11" x14ac:dyDescent="0.25">
      <c r="A783" s="124"/>
      <c r="H783" s="125"/>
      <c r="I783" s="126"/>
      <c r="J783" s="126"/>
      <c r="K783" s="126"/>
    </row>
    <row r="784" spans="1:11" x14ac:dyDescent="0.25">
      <c r="A784" s="124"/>
      <c r="H784" s="125"/>
      <c r="I784" s="126"/>
      <c r="J784" s="126"/>
      <c r="K784" s="126"/>
    </row>
    <row r="785" spans="1:11" x14ac:dyDescent="0.25">
      <c r="A785" s="124"/>
      <c r="H785" s="125"/>
      <c r="I785" s="127"/>
      <c r="J785" s="127"/>
      <c r="K785" s="127"/>
    </row>
    <row r="786" spans="1:11" x14ac:dyDescent="0.25">
      <c r="H786" s="125"/>
      <c r="I786" s="128"/>
      <c r="J786" s="128"/>
      <c r="K786" s="128"/>
    </row>
  </sheetData>
  <mergeCells count="50">
    <mergeCell ref="A639:K639"/>
    <mergeCell ref="A650:K650"/>
    <mergeCell ref="A677:K677"/>
    <mergeCell ref="A678:K678"/>
    <mergeCell ref="A577:K577"/>
    <mergeCell ref="A582:K582"/>
    <mergeCell ref="A589:K589"/>
    <mergeCell ref="A594:K594"/>
    <mergeCell ref="A617:K617"/>
    <mergeCell ref="A634:K634"/>
    <mergeCell ref="A564:K564"/>
    <mergeCell ref="A158:K158"/>
    <mergeCell ref="A163:K163"/>
    <mergeCell ref="A168:K168"/>
    <mergeCell ref="B177:K177"/>
    <mergeCell ref="A178:K178"/>
    <mergeCell ref="A331:K331"/>
    <mergeCell ref="A512:K512"/>
    <mergeCell ref="A513:K513"/>
    <mergeCell ref="B528:K528"/>
    <mergeCell ref="A543:K543"/>
    <mergeCell ref="A553:K553"/>
    <mergeCell ref="A153:K153"/>
    <mergeCell ref="A65:K65"/>
    <mergeCell ref="A70:K70"/>
    <mergeCell ref="A75:K75"/>
    <mergeCell ref="A82:K82"/>
    <mergeCell ref="A91:K91"/>
    <mergeCell ref="A110:K110"/>
    <mergeCell ref="A117:K117"/>
    <mergeCell ref="A132:K132"/>
    <mergeCell ref="A133:K133"/>
    <mergeCell ref="A138:K138"/>
    <mergeCell ref="A145:K145"/>
    <mergeCell ref="A58:K58"/>
    <mergeCell ref="J2:K2"/>
    <mergeCell ref="A3:K3"/>
    <mergeCell ref="A5:A6"/>
    <mergeCell ref="B5:B6"/>
    <mergeCell ref="C5:C6"/>
    <mergeCell ref="D5:D6"/>
    <mergeCell ref="E5:G5"/>
    <mergeCell ref="H5:H6"/>
    <mergeCell ref="I5:I6"/>
    <mergeCell ref="J5:J6"/>
    <mergeCell ref="K5:K6"/>
    <mergeCell ref="A7:K7"/>
    <mergeCell ref="A8:K8"/>
    <mergeCell ref="A32:K32"/>
    <mergeCell ref="A57:K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3"/>
  <sheetViews>
    <sheetView topLeftCell="A733" zoomScale="110" zoomScaleNormal="110" workbookViewId="0">
      <selection activeCell="E750" sqref="E750"/>
    </sheetView>
  </sheetViews>
  <sheetFormatPr defaultRowHeight="15.75" x14ac:dyDescent="0.25"/>
  <cols>
    <col min="1" max="1" width="7" style="129" customWidth="1"/>
    <col min="2" max="2" width="46.85546875" style="130" customWidth="1"/>
    <col min="3" max="3" width="22.140625" style="131" customWidth="1"/>
    <col min="4" max="4" width="12.85546875" style="131" customWidth="1"/>
    <col min="5" max="5" width="18" style="131" customWidth="1"/>
    <col min="6" max="6" width="16.140625" style="131" customWidth="1"/>
    <col min="7" max="7" width="11.28515625" style="131" customWidth="1"/>
    <col min="8" max="8" width="16.7109375" style="132" customWidth="1"/>
    <col min="9" max="9" width="32.28515625" style="133" customWidth="1"/>
    <col min="10" max="10" width="24" style="133" customWidth="1"/>
    <col min="11" max="11" width="32.28515625" style="133" customWidth="1"/>
    <col min="12" max="12" width="24.28515625" style="133" customWidth="1"/>
    <col min="13" max="16384" width="9.140625" style="133"/>
  </cols>
  <sheetData>
    <row r="1" spans="1:11" x14ac:dyDescent="0.25">
      <c r="K1" s="134" t="s">
        <v>0</v>
      </c>
    </row>
    <row r="2" spans="1:11" ht="19.5" x14ac:dyDescent="0.25">
      <c r="B2" s="135"/>
      <c r="F2" s="136"/>
      <c r="G2" s="136"/>
      <c r="H2" s="137"/>
      <c r="I2" s="138"/>
      <c r="J2" s="551" t="s">
        <v>325</v>
      </c>
      <c r="K2" s="552"/>
    </row>
    <row r="3" spans="1:11" ht="19.5" x14ac:dyDescent="0.25">
      <c r="A3" s="553" t="s">
        <v>10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</row>
    <row r="4" spans="1:11" ht="19.5" x14ac:dyDescent="0.25">
      <c r="A4" s="139"/>
      <c r="B4" s="140"/>
      <c r="C4" s="141"/>
      <c r="D4" s="141"/>
      <c r="E4" s="141"/>
      <c r="F4" s="141"/>
      <c r="G4" s="141"/>
      <c r="H4" s="142"/>
      <c r="I4" s="143"/>
      <c r="J4" s="143"/>
      <c r="K4" s="143"/>
    </row>
    <row r="5" spans="1:11" x14ac:dyDescent="0.25">
      <c r="A5" s="554" t="s">
        <v>2</v>
      </c>
      <c r="B5" s="555" t="s">
        <v>1</v>
      </c>
      <c r="C5" s="554" t="s">
        <v>3</v>
      </c>
      <c r="D5" s="554" t="s">
        <v>4</v>
      </c>
      <c r="E5" s="554" t="s">
        <v>326</v>
      </c>
      <c r="F5" s="554"/>
      <c r="G5" s="554"/>
      <c r="H5" s="557" t="s">
        <v>8</v>
      </c>
      <c r="I5" s="554" t="s">
        <v>9</v>
      </c>
      <c r="J5" s="554" t="s">
        <v>327</v>
      </c>
      <c r="K5" s="554" t="s">
        <v>328</v>
      </c>
    </row>
    <row r="6" spans="1:11" ht="31.5" x14ac:dyDescent="0.25">
      <c r="A6" s="554"/>
      <c r="B6" s="556"/>
      <c r="C6" s="554"/>
      <c r="D6" s="554"/>
      <c r="E6" s="144" t="s">
        <v>5</v>
      </c>
      <c r="F6" s="144" t="s">
        <v>6</v>
      </c>
      <c r="G6" s="144" t="s">
        <v>7</v>
      </c>
      <c r="H6" s="557"/>
      <c r="I6" s="554"/>
      <c r="J6" s="554"/>
      <c r="K6" s="554"/>
    </row>
    <row r="7" spans="1:11" ht="16.5" x14ac:dyDescent="0.25">
      <c r="A7" s="558" t="s">
        <v>303</v>
      </c>
      <c r="B7" s="558"/>
      <c r="C7" s="558"/>
      <c r="D7" s="558"/>
      <c r="E7" s="558"/>
      <c r="F7" s="558"/>
      <c r="G7" s="558"/>
      <c r="H7" s="558"/>
      <c r="I7" s="558"/>
      <c r="J7" s="558"/>
      <c r="K7" s="558"/>
    </row>
    <row r="8" spans="1:11" ht="16.5" x14ac:dyDescent="0.25">
      <c r="A8" s="550" t="s">
        <v>11</v>
      </c>
      <c r="B8" s="550"/>
      <c r="C8" s="550"/>
      <c r="D8" s="550"/>
      <c r="E8" s="550"/>
      <c r="F8" s="550"/>
      <c r="G8" s="550"/>
      <c r="H8" s="550"/>
      <c r="I8" s="550"/>
      <c r="J8" s="550"/>
      <c r="K8" s="550"/>
    </row>
    <row r="9" spans="1:11" ht="63" x14ac:dyDescent="0.25">
      <c r="A9" s="145">
        <v>1</v>
      </c>
      <c r="B9" s="246" t="s">
        <v>270</v>
      </c>
      <c r="C9" s="145" t="s">
        <v>432</v>
      </c>
      <c r="D9" s="145" t="s">
        <v>16</v>
      </c>
      <c r="E9" s="146">
        <f>E10+E11</f>
        <v>63043102.899999999</v>
      </c>
      <c r="F9" s="146">
        <f>F10+F11</f>
        <v>67271002.900000006</v>
      </c>
      <c r="G9" s="147">
        <f t="shared" ref="G9:G30" si="0">F9/E9*100</f>
        <v>106.7063640676227</v>
      </c>
      <c r="H9" s="148">
        <v>100</v>
      </c>
      <c r="I9" s="149"/>
      <c r="J9" s="149" t="s">
        <v>433</v>
      </c>
      <c r="K9" s="150"/>
    </row>
    <row r="10" spans="1:11" s="155" customFormat="1" x14ac:dyDescent="0.25">
      <c r="A10" s="150"/>
      <c r="B10" s="151" t="s">
        <v>13</v>
      </c>
      <c r="C10" s="150"/>
      <c r="D10" s="150"/>
      <c r="E10" s="152">
        <v>4897002.9000000004</v>
      </c>
      <c r="F10" s="152">
        <v>4897002.9000000004</v>
      </c>
      <c r="G10" s="153">
        <f t="shared" si="0"/>
        <v>100</v>
      </c>
      <c r="H10" s="154"/>
      <c r="I10" s="150"/>
      <c r="J10" s="150"/>
      <c r="K10" s="150"/>
    </row>
    <row r="11" spans="1:11" s="155" customFormat="1" x14ac:dyDescent="0.25">
      <c r="A11" s="150"/>
      <c r="B11" s="156" t="s">
        <v>19</v>
      </c>
      <c r="C11" s="150"/>
      <c r="D11" s="150"/>
      <c r="E11" s="152">
        <v>58146100</v>
      </c>
      <c r="F11" s="152">
        <v>62374000</v>
      </c>
      <c r="G11" s="153">
        <f t="shared" si="0"/>
        <v>107.27116693982914</v>
      </c>
      <c r="H11" s="154"/>
      <c r="I11" s="150"/>
      <c r="J11" s="150"/>
      <c r="K11" s="150"/>
    </row>
    <row r="12" spans="1:11" x14ac:dyDescent="0.25">
      <c r="A12" s="145"/>
      <c r="B12" s="157" t="s">
        <v>155</v>
      </c>
      <c r="C12" s="150"/>
      <c r="D12" s="150"/>
      <c r="E12" s="146"/>
      <c r="F12" s="146"/>
      <c r="G12" s="147"/>
      <c r="H12" s="154"/>
      <c r="I12" s="150"/>
      <c r="J12" s="150"/>
      <c r="K12" s="150"/>
    </row>
    <row r="13" spans="1:11" ht="63" x14ac:dyDescent="0.25">
      <c r="A13" s="145"/>
      <c r="B13" s="246" t="s">
        <v>279</v>
      </c>
      <c r="C13" s="145" t="s">
        <v>143</v>
      </c>
      <c r="D13" s="145" t="s">
        <v>280</v>
      </c>
      <c r="E13" s="146">
        <v>13509.74</v>
      </c>
      <c r="F13" s="146">
        <f>F14</f>
        <v>13509.74</v>
      </c>
      <c r="G13" s="147">
        <f t="shared" si="0"/>
        <v>100</v>
      </c>
      <c r="H13" s="148">
        <v>100</v>
      </c>
      <c r="I13" s="150"/>
      <c r="J13" s="149" t="s">
        <v>433</v>
      </c>
      <c r="K13" s="150"/>
    </row>
    <row r="14" spans="1:11" s="155" customFormat="1" x14ac:dyDescent="0.25">
      <c r="A14" s="150"/>
      <c r="B14" s="151" t="s">
        <v>13</v>
      </c>
      <c r="C14" s="150"/>
      <c r="D14" s="150"/>
      <c r="E14" s="152">
        <v>13509.74</v>
      </c>
      <c r="F14" s="152">
        <v>13509.74</v>
      </c>
      <c r="G14" s="153">
        <f t="shared" si="0"/>
        <v>100</v>
      </c>
      <c r="H14" s="154"/>
      <c r="I14" s="150"/>
      <c r="J14" s="158"/>
      <c r="K14" s="150"/>
    </row>
    <row r="15" spans="1:11" ht="110.25" x14ac:dyDescent="0.25">
      <c r="A15" s="145"/>
      <c r="B15" s="246" t="s">
        <v>281</v>
      </c>
      <c r="C15" s="145" t="s">
        <v>143</v>
      </c>
      <c r="D15" s="145" t="s">
        <v>280</v>
      </c>
      <c r="E15" s="146">
        <f>E16+E17</f>
        <v>138414</v>
      </c>
      <c r="F15" s="146">
        <f>F16+F17</f>
        <v>138474</v>
      </c>
      <c r="G15" s="147">
        <f t="shared" si="0"/>
        <v>100.04334821622089</v>
      </c>
      <c r="H15" s="148">
        <v>100</v>
      </c>
      <c r="I15" s="150"/>
      <c r="J15" s="149" t="s">
        <v>433</v>
      </c>
      <c r="K15" s="150"/>
    </row>
    <row r="16" spans="1:11" s="155" customFormat="1" x14ac:dyDescent="0.25">
      <c r="A16" s="150"/>
      <c r="B16" s="151" t="s">
        <v>13</v>
      </c>
      <c r="C16" s="150"/>
      <c r="D16" s="150"/>
      <c r="E16" s="152">
        <v>92314</v>
      </c>
      <c r="F16" s="152">
        <v>92314</v>
      </c>
      <c r="G16" s="153">
        <f t="shared" si="0"/>
        <v>100</v>
      </c>
      <c r="H16" s="154"/>
      <c r="I16" s="150"/>
      <c r="J16" s="150"/>
      <c r="K16" s="150"/>
    </row>
    <row r="17" spans="1:11" s="155" customFormat="1" x14ac:dyDescent="0.25">
      <c r="A17" s="150"/>
      <c r="B17" s="156" t="s">
        <v>19</v>
      </c>
      <c r="C17" s="150"/>
      <c r="D17" s="150"/>
      <c r="E17" s="152">
        <v>46100</v>
      </c>
      <c r="F17" s="152">
        <v>46160</v>
      </c>
      <c r="G17" s="153">
        <f t="shared" si="0"/>
        <v>100.1301518438178</v>
      </c>
      <c r="H17" s="154"/>
      <c r="I17" s="150"/>
      <c r="J17" s="150"/>
      <c r="K17" s="150"/>
    </row>
    <row r="18" spans="1:11" ht="126" x14ac:dyDescent="0.25">
      <c r="A18" s="145">
        <v>2</v>
      </c>
      <c r="B18" s="246" t="s">
        <v>269</v>
      </c>
      <c r="C18" s="145" t="s">
        <v>141</v>
      </c>
      <c r="D18" s="145" t="s">
        <v>16</v>
      </c>
      <c r="E18" s="146">
        <f>E19+E20</f>
        <v>1375500</v>
      </c>
      <c r="F18" s="146">
        <f>F19+F20</f>
        <v>1281916.67</v>
      </c>
      <c r="G18" s="147">
        <f t="shared" si="0"/>
        <v>93.19641366775717</v>
      </c>
      <c r="H18" s="148">
        <v>100</v>
      </c>
      <c r="I18" s="246"/>
      <c r="J18" s="149" t="s">
        <v>433</v>
      </c>
      <c r="K18" s="246"/>
    </row>
    <row r="19" spans="1:11" s="155" customFormat="1" x14ac:dyDescent="0.25">
      <c r="A19" s="150"/>
      <c r="B19" s="151" t="s">
        <v>13</v>
      </c>
      <c r="C19" s="150"/>
      <c r="D19" s="150"/>
      <c r="E19" s="152">
        <v>240000</v>
      </c>
      <c r="F19" s="152">
        <v>240000</v>
      </c>
      <c r="G19" s="153">
        <f t="shared" si="0"/>
        <v>100</v>
      </c>
      <c r="H19" s="154"/>
      <c r="I19" s="150"/>
      <c r="J19" s="150"/>
      <c r="K19" s="150"/>
    </row>
    <row r="20" spans="1:11" s="155" customFormat="1" x14ac:dyDescent="0.25">
      <c r="A20" s="150"/>
      <c r="B20" s="156" t="s">
        <v>19</v>
      </c>
      <c r="C20" s="150"/>
      <c r="D20" s="150"/>
      <c r="E20" s="152">
        <v>1135500</v>
      </c>
      <c r="F20" s="152">
        <v>1041916.67</v>
      </c>
      <c r="G20" s="153">
        <f t="shared" si="0"/>
        <v>91.758403346543375</v>
      </c>
      <c r="H20" s="154"/>
      <c r="I20" s="150"/>
      <c r="J20" s="150"/>
      <c r="K20" s="150"/>
    </row>
    <row r="21" spans="1:11" s="155" customFormat="1" x14ac:dyDescent="0.25">
      <c r="A21" s="150"/>
      <c r="B21" s="157" t="s">
        <v>155</v>
      </c>
      <c r="C21" s="150"/>
      <c r="D21" s="150"/>
      <c r="E21" s="152"/>
      <c r="F21" s="152"/>
      <c r="G21" s="153"/>
      <c r="H21" s="154"/>
      <c r="I21" s="150"/>
      <c r="J21" s="150"/>
      <c r="K21" s="150"/>
    </row>
    <row r="22" spans="1:11" s="155" customFormat="1" ht="94.5" x14ac:dyDescent="0.25">
      <c r="A22" s="150"/>
      <c r="B22" s="246" t="s">
        <v>434</v>
      </c>
      <c r="C22" s="145" t="s">
        <v>143</v>
      </c>
      <c r="D22" s="150"/>
      <c r="E22" s="146">
        <f>E23+E24</f>
        <v>130500</v>
      </c>
      <c r="F22" s="146">
        <f>F23+F24</f>
        <v>130500</v>
      </c>
      <c r="G22" s="147">
        <f t="shared" si="0"/>
        <v>100</v>
      </c>
      <c r="H22" s="148">
        <v>100</v>
      </c>
      <c r="I22" s="150"/>
      <c r="J22" s="149" t="s">
        <v>380</v>
      </c>
      <c r="K22" s="150"/>
    </row>
    <row r="23" spans="1:11" s="155" customFormat="1" x14ac:dyDescent="0.25">
      <c r="A23" s="150"/>
      <c r="B23" s="151" t="s">
        <v>13</v>
      </c>
      <c r="C23" s="150"/>
      <c r="D23" s="150"/>
      <c r="E23" s="152">
        <v>90000</v>
      </c>
      <c r="F23" s="152">
        <v>90000</v>
      </c>
      <c r="G23" s="153">
        <f t="shared" si="0"/>
        <v>100</v>
      </c>
      <c r="H23" s="154"/>
      <c r="I23" s="150"/>
      <c r="J23" s="150"/>
      <c r="K23" s="150"/>
    </row>
    <row r="24" spans="1:11" s="155" customFormat="1" x14ac:dyDescent="0.25">
      <c r="A24" s="150"/>
      <c r="B24" s="156" t="s">
        <v>19</v>
      </c>
      <c r="C24" s="150"/>
      <c r="D24" s="150"/>
      <c r="E24" s="152">
        <v>40500</v>
      </c>
      <c r="F24" s="152">
        <v>40500</v>
      </c>
      <c r="G24" s="153">
        <f t="shared" si="0"/>
        <v>100</v>
      </c>
      <c r="H24" s="154"/>
      <c r="I24" s="150"/>
      <c r="J24" s="150"/>
      <c r="K24" s="150"/>
    </row>
    <row r="25" spans="1:11" ht="63" x14ac:dyDescent="0.25">
      <c r="A25" s="145">
        <v>3</v>
      </c>
      <c r="B25" s="246" t="s">
        <v>268</v>
      </c>
      <c r="C25" s="145" t="s">
        <v>140</v>
      </c>
      <c r="D25" s="145" t="s">
        <v>16</v>
      </c>
      <c r="E25" s="146">
        <f>E26+E27</f>
        <v>1482495</v>
      </c>
      <c r="F25" s="146">
        <f>F26+F27</f>
        <v>763494.26</v>
      </c>
      <c r="G25" s="147">
        <f t="shared" si="0"/>
        <v>51.500629681718991</v>
      </c>
      <c r="H25" s="148">
        <v>100</v>
      </c>
      <c r="I25" s="150"/>
      <c r="J25" s="149" t="s">
        <v>433</v>
      </c>
      <c r="K25" s="150"/>
    </row>
    <row r="26" spans="1:11" s="155" customFormat="1" x14ac:dyDescent="0.25">
      <c r="A26" s="150"/>
      <c r="B26" s="151" t="s">
        <v>13</v>
      </c>
      <c r="C26" s="150"/>
      <c r="D26" s="150"/>
      <c r="E26" s="152">
        <v>382495</v>
      </c>
      <c r="F26" s="152">
        <v>347020</v>
      </c>
      <c r="G26" s="153">
        <f t="shared" si="0"/>
        <v>90.725368959071361</v>
      </c>
      <c r="H26" s="154"/>
      <c r="I26" s="150"/>
      <c r="J26" s="150"/>
      <c r="K26" s="150"/>
    </row>
    <row r="27" spans="1:11" s="155" customFormat="1" x14ac:dyDescent="0.25">
      <c r="A27" s="150"/>
      <c r="B27" s="156" t="s">
        <v>19</v>
      </c>
      <c r="C27" s="150"/>
      <c r="D27" s="150"/>
      <c r="E27" s="152">
        <v>1100000</v>
      </c>
      <c r="F27" s="152">
        <v>416474.26</v>
      </c>
      <c r="G27" s="153">
        <f t="shared" si="0"/>
        <v>37.861296363636363</v>
      </c>
      <c r="H27" s="154"/>
      <c r="I27" s="150"/>
      <c r="J27" s="150"/>
      <c r="K27" s="150"/>
    </row>
    <row r="28" spans="1:11" x14ac:dyDescent="0.25">
      <c r="A28" s="145"/>
      <c r="B28" s="157" t="s">
        <v>155</v>
      </c>
      <c r="C28" s="150"/>
      <c r="D28" s="150"/>
      <c r="E28" s="147"/>
      <c r="F28" s="147"/>
      <c r="G28" s="147"/>
      <c r="H28" s="154"/>
      <c r="I28" s="150"/>
      <c r="J28" s="150"/>
      <c r="K28" s="150"/>
    </row>
    <row r="29" spans="1:11" ht="63" x14ac:dyDescent="0.25">
      <c r="A29" s="145"/>
      <c r="B29" s="246" t="s">
        <v>282</v>
      </c>
      <c r="C29" s="145" t="s">
        <v>143</v>
      </c>
      <c r="D29" s="145" t="s">
        <v>280</v>
      </c>
      <c r="E29" s="146">
        <f>E30</f>
        <v>347020</v>
      </c>
      <c r="F29" s="146">
        <f>F30</f>
        <v>347020</v>
      </c>
      <c r="G29" s="147">
        <f t="shared" si="0"/>
        <v>100</v>
      </c>
      <c r="H29" s="148">
        <v>100</v>
      </c>
      <c r="I29" s="150"/>
      <c r="J29" s="149" t="s">
        <v>435</v>
      </c>
      <c r="K29" s="150"/>
    </row>
    <row r="30" spans="1:11" s="155" customFormat="1" x14ac:dyDescent="0.25">
      <c r="A30" s="150"/>
      <c r="B30" s="151" t="s">
        <v>13</v>
      </c>
      <c r="C30" s="150"/>
      <c r="D30" s="150"/>
      <c r="E30" s="152">
        <v>347020</v>
      </c>
      <c r="F30" s="152">
        <v>347020</v>
      </c>
      <c r="G30" s="153">
        <f t="shared" si="0"/>
        <v>100</v>
      </c>
      <c r="H30" s="154"/>
      <c r="I30" s="150"/>
      <c r="J30" s="150"/>
      <c r="K30" s="150"/>
    </row>
    <row r="31" spans="1:11" s="155" customFormat="1" ht="173.25" x14ac:dyDescent="0.25">
      <c r="A31" s="150"/>
      <c r="B31" s="246" t="s">
        <v>436</v>
      </c>
      <c r="C31" s="145" t="s">
        <v>143</v>
      </c>
      <c r="D31" s="145">
        <v>2018</v>
      </c>
      <c r="E31" s="146">
        <v>35475</v>
      </c>
      <c r="F31" s="146">
        <f>F32</f>
        <v>0</v>
      </c>
      <c r="G31" s="147">
        <v>0</v>
      </c>
      <c r="H31" s="148"/>
      <c r="I31" s="151" t="s">
        <v>437</v>
      </c>
      <c r="J31" s="149" t="s">
        <v>380</v>
      </c>
      <c r="K31" s="150"/>
    </row>
    <row r="32" spans="1:11" s="155" customFormat="1" x14ac:dyDescent="0.25">
      <c r="A32" s="150"/>
      <c r="B32" s="151" t="s">
        <v>13</v>
      </c>
      <c r="C32" s="150"/>
      <c r="D32" s="150"/>
      <c r="E32" s="152">
        <v>35475</v>
      </c>
      <c r="F32" s="152">
        <v>0</v>
      </c>
      <c r="G32" s="152">
        <v>0</v>
      </c>
      <c r="H32" s="154"/>
      <c r="I32" s="150"/>
      <c r="J32" s="150"/>
      <c r="K32" s="150"/>
    </row>
    <row r="33" spans="1:11" x14ac:dyDescent="0.25">
      <c r="A33" s="145"/>
      <c r="B33" s="159" t="s">
        <v>54</v>
      </c>
      <c r="C33" s="150"/>
      <c r="D33" s="150"/>
      <c r="E33" s="160">
        <f>E34+E37</f>
        <v>65901097.899999999</v>
      </c>
      <c r="F33" s="160">
        <f>F34+F37</f>
        <v>69316413.829999998</v>
      </c>
      <c r="G33" s="161">
        <f t="shared" ref="G33:G36" si="1">F33/E33*100</f>
        <v>105.18248714942882</v>
      </c>
      <c r="H33" s="154"/>
      <c r="I33" s="150"/>
      <c r="J33" s="150"/>
      <c r="K33" s="150"/>
    </row>
    <row r="34" spans="1:11" s="155" customFormat="1" x14ac:dyDescent="0.25">
      <c r="A34" s="150"/>
      <c r="B34" s="151" t="s">
        <v>13</v>
      </c>
      <c r="C34" s="150"/>
      <c r="D34" s="150"/>
      <c r="E34" s="152">
        <f>E26+E19+E10</f>
        <v>5519497.9000000004</v>
      </c>
      <c r="F34" s="152">
        <f>F26+F19+F10</f>
        <v>5484022.9000000004</v>
      </c>
      <c r="G34" s="153">
        <f t="shared" si="1"/>
        <v>99.357278494480454</v>
      </c>
      <c r="H34" s="154"/>
      <c r="I34" s="150"/>
      <c r="J34" s="150"/>
      <c r="K34" s="150"/>
    </row>
    <row r="35" spans="1:11" s="155" customFormat="1" x14ac:dyDescent="0.25">
      <c r="A35" s="150"/>
      <c r="B35" s="151" t="s">
        <v>438</v>
      </c>
      <c r="C35" s="150"/>
      <c r="D35" s="150"/>
      <c r="E35" s="152"/>
      <c r="F35" s="152"/>
      <c r="G35" s="153"/>
      <c r="H35" s="154"/>
      <c r="I35" s="150"/>
      <c r="J35" s="150"/>
      <c r="K35" s="150"/>
    </row>
    <row r="36" spans="1:11" s="155" customFormat="1" ht="63" x14ac:dyDescent="0.25">
      <c r="A36" s="150"/>
      <c r="B36" s="151" t="s">
        <v>439</v>
      </c>
      <c r="C36" s="150"/>
      <c r="D36" s="150"/>
      <c r="E36" s="152">
        <f>E16+E23</f>
        <v>182314</v>
      </c>
      <c r="F36" s="152">
        <f>F16+F23</f>
        <v>182314</v>
      </c>
      <c r="G36" s="153">
        <f t="shared" si="1"/>
        <v>100</v>
      </c>
      <c r="H36" s="154"/>
      <c r="I36" s="150"/>
      <c r="J36" s="150"/>
      <c r="K36" s="150"/>
    </row>
    <row r="37" spans="1:11" s="155" customFormat="1" x14ac:dyDescent="0.25">
      <c r="A37" s="150"/>
      <c r="B37" s="156" t="s">
        <v>19</v>
      </c>
      <c r="C37" s="150"/>
      <c r="D37" s="150"/>
      <c r="E37" s="152">
        <f>E27+E20+E11</f>
        <v>60381600</v>
      </c>
      <c r="F37" s="152">
        <f>F27+F20+F11</f>
        <v>63832390.93</v>
      </c>
      <c r="G37" s="153">
        <f>F37/E37*100</f>
        <v>105.71497100109968</v>
      </c>
      <c r="H37" s="154"/>
      <c r="I37" s="150"/>
      <c r="J37" s="150"/>
      <c r="K37" s="150"/>
    </row>
    <row r="38" spans="1:11" x14ac:dyDescent="0.25">
      <c r="A38" s="145"/>
      <c r="B38" s="156"/>
      <c r="C38" s="150"/>
      <c r="D38" s="150"/>
      <c r="E38" s="162"/>
      <c r="F38" s="150"/>
      <c r="G38" s="150"/>
      <c r="H38" s="154"/>
      <c r="I38" s="150"/>
      <c r="J38" s="150"/>
      <c r="K38" s="150"/>
    </row>
    <row r="39" spans="1:11" ht="16.5" x14ac:dyDescent="0.25">
      <c r="A39" s="550" t="s">
        <v>142</v>
      </c>
      <c r="B39" s="550"/>
      <c r="C39" s="550"/>
      <c r="D39" s="550"/>
      <c r="E39" s="550"/>
      <c r="F39" s="550"/>
      <c r="G39" s="550"/>
      <c r="H39" s="550"/>
      <c r="I39" s="550"/>
      <c r="J39" s="550"/>
      <c r="K39" s="550"/>
    </row>
    <row r="40" spans="1:11" ht="283.5" x14ac:dyDescent="0.25">
      <c r="A40" s="145">
        <v>4</v>
      </c>
      <c r="B40" s="246" t="s">
        <v>289</v>
      </c>
      <c r="C40" s="145" t="s">
        <v>143</v>
      </c>
      <c r="D40" s="145" t="s">
        <v>16</v>
      </c>
      <c r="E40" s="146">
        <f>E41+E42</f>
        <v>585375</v>
      </c>
      <c r="F40" s="146">
        <f>F41+F42</f>
        <v>553050</v>
      </c>
      <c r="G40" s="147">
        <f t="shared" ref="G40:G56" si="2">F40/E40*100</f>
        <v>94.477898782831517</v>
      </c>
      <c r="H40" s="148">
        <v>100</v>
      </c>
      <c r="I40" s="150"/>
      <c r="J40" s="149" t="s">
        <v>433</v>
      </c>
      <c r="K40" s="150"/>
    </row>
    <row r="41" spans="1:11" s="155" customFormat="1" x14ac:dyDescent="0.25">
      <c r="A41" s="150"/>
      <c r="B41" s="151" t="s">
        <v>13</v>
      </c>
      <c r="C41" s="150"/>
      <c r="D41" s="150"/>
      <c r="E41" s="152">
        <v>559585</v>
      </c>
      <c r="F41" s="152">
        <v>527260</v>
      </c>
      <c r="G41" s="153">
        <f t="shared" si="2"/>
        <v>94.223397696507234</v>
      </c>
      <c r="H41" s="154"/>
      <c r="I41" s="150"/>
      <c r="J41" s="150"/>
      <c r="K41" s="150"/>
    </row>
    <row r="42" spans="1:11" s="155" customFormat="1" x14ac:dyDescent="0.25">
      <c r="A42" s="150"/>
      <c r="B42" s="156" t="s">
        <v>19</v>
      </c>
      <c r="C42" s="150"/>
      <c r="D42" s="150"/>
      <c r="E42" s="152">
        <v>25790</v>
      </c>
      <c r="F42" s="152">
        <v>25790</v>
      </c>
      <c r="G42" s="153">
        <f t="shared" si="2"/>
        <v>100</v>
      </c>
      <c r="H42" s="154"/>
      <c r="I42" s="150"/>
      <c r="J42" s="150"/>
      <c r="K42" s="150"/>
    </row>
    <row r="43" spans="1:11" s="155" customFormat="1" x14ac:dyDescent="0.25">
      <c r="A43" s="150"/>
      <c r="B43" s="163" t="s">
        <v>155</v>
      </c>
      <c r="C43" s="150"/>
      <c r="D43" s="150"/>
      <c r="E43" s="152"/>
      <c r="F43" s="152"/>
      <c r="G43" s="153"/>
      <c r="H43" s="154"/>
      <c r="I43" s="150"/>
      <c r="J43" s="150"/>
      <c r="K43" s="150"/>
    </row>
    <row r="44" spans="1:11" s="155" customFormat="1" ht="173.25" x14ac:dyDescent="0.25">
      <c r="A44" s="150"/>
      <c r="B44" s="246" t="s">
        <v>440</v>
      </c>
      <c r="C44" s="145" t="s">
        <v>143</v>
      </c>
      <c r="D44" s="145">
        <v>2018</v>
      </c>
      <c r="E44" s="146">
        <v>32325</v>
      </c>
      <c r="F44" s="152">
        <v>0</v>
      </c>
      <c r="G44" s="153"/>
      <c r="H44" s="154"/>
      <c r="I44" s="151" t="s">
        <v>437</v>
      </c>
      <c r="J44" s="149" t="s">
        <v>380</v>
      </c>
      <c r="K44" s="150"/>
    </row>
    <row r="45" spans="1:11" s="155" customFormat="1" x14ac:dyDescent="0.25">
      <c r="A45" s="150"/>
      <c r="B45" s="151" t="s">
        <v>13</v>
      </c>
      <c r="C45" s="150"/>
      <c r="D45" s="150"/>
      <c r="E45" s="152">
        <v>32325</v>
      </c>
      <c r="F45" s="152">
        <v>0</v>
      </c>
      <c r="G45" s="153"/>
      <c r="H45" s="154"/>
      <c r="I45" s="150"/>
      <c r="J45" s="150"/>
      <c r="K45" s="150"/>
    </row>
    <row r="46" spans="1:11" s="155" customFormat="1" x14ac:dyDescent="0.25">
      <c r="A46" s="150"/>
      <c r="B46" s="156"/>
      <c r="C46" s="150"/>
      <c r="D46" s="150"/>
      <c r="E46" s="152"/>
      <c r="F46" s="152"/>
      <c r="G46" s="153"/>
      <c r="H46" s="154"/>
      <c r="I46" s="150"/>
      <c r="J46" s="150"/>
      <c r="K46" s="150"/>
    </row>
    <row r="47" spans="1:11" ht="94.5" x14ac:dyDescent="0.25">
      <c r="A47" s="145"/>
      <c r="B47" s="246" t="s">
        <v>441</v>
      </c>
      <c r="C47" s="145" t="s">
        <v>143</v>
      </c>
      <c r="D47" s="145">
        <v>2018</v>
      </c>
      <c r="E47" s="147">
        <f>E48+E49</f>
        <v>75290</v>
      </c>
      <c r="F47" s="147">
        <f>F48+F49</f>
        <v>75290</v>
      </c>
      <c r="G47" s="147">
        <f t="shared" si="2"/>
        <v>100</v>
      </c>
      <c r="H47" s="148">
        <v>100</v>
      </c>
      <c r="I47" s="150"/>
      <c r="J47" s="149" t="s">
        <v>380</v>
      </c>
      <c r="K47" s="150"/>
    </row>
    <row r="48" spans="1:11" s="155" customFormat="1" x14ac:dyDescent="0.25">
      <c r="A48" s="150"/>
      <c r="B48" s="151" t="s">
        <v>13</v>
      </c>
      <c r="C48" s="150"/>
      <c r="D48" s="150"/>
      <c r="E48" s="152">
        <v>49500</v>
      </c>
      <c r="F48" s="152">
        <v>49500</v>
      </c>
      <c r="G48" s="153">
        <f t="shared" si="2"/>
        <v>100</v>
      </c>
      <c r="H48" s="154"/>
      <c r="I48" s="150"/>
      <c r="J48" s="150"/>
      <c r="K48" s="150"/>
    </row>
    <row r="49" spans="1:11" s="155" customFormat="1" x14ac:dyDescent="0.25">
      <c r="A49" s="150"/>
      <c r="B49" s="156" t="s">
        <v>19</v>
      </c>
      <c r="C49" s="150"/>
      <c r="D49" s="150"/>
      <c r="E49" s="152">
        <v>25790</v>
      </c>
      <c r="F49" s="152">
        <v>25790</v>
      </c>
      <c r="G49" s="153">
        <f t="shared" si="2"/>
        <v>100</v>
      </c>
      <c r="H49" s="154"/>
      <c r="I49" s="150"/>
      <c r="J49" s="150"/>
      <c r="K49" s="150"/>
    </row>
    <row r="50" spans="1:11" ht="220.5" x14ac:dyDescent="0.25">
      <c r="A50" s="145">
        <v>5</v>
      </c>
      <c r="B50" s="246" t="s">
        <v>267</v>
      </c>
      <c r="C50" s="145" t="s">
        <v>143</v>
      </c>
      <c r="D50" s="145" t="s">
        <v>16</v>
      </c>
      <c r="E50" s="146">
        <f>E51</f>
        <v>1051975</v>
      </c>
      <c r="F50" s="146">
        <f>F51</f>
        <v>1021950</v>
      </c>
      <c r="G50" s="147">
        <f t="shared" si="2"/>
        <v>97.145844720644504</v>
      </c>
      <c r="H50" s="148">
        <v>100</v>
      </c>
      <c r="I50" s="149"/>
      <c r="J50" s="149" t="s">
        <v>433</v>
      </c>
      <c r="K50" s="150"/>
    </row>
    <row r="51" spans="1:11" s="155" customFormat="1" x14ac:dyDescent="0.25">
      <c r="A51" s="150"/>
      <c r="B51" s="151" t="s">
        <v>13</v>
      </c>
      <c r="C51" s="150"/>
      <c r="D51" s="150"/>
      <c r="E51" s="152">
        <v>1051975</v>
      </c>
      <c r="F51" s="152">
        <v>1021950</v>
      </c>
      <c r="G51" s="153">
        <f t="shared" si="2"/>
        <v>97.145844720644504</v>
      </c>
      <c r="H51" s="154"/>
      <c r="I51" s="150"/>
      <c r="J51" s="150"/>
      <c r="K51" s="150"/>
    </row>
    <row r="52" spans="1:11" s="155" customFormat="1" ht="173.25" x14ac:dyDescent="0.25">
      <c r="A52" s="150"/>
      <c r="B52" s="246" t="s">
        <v>442</v>
      </c>
      <c r="C52" s="145" t="s">
        <v>143</v>
      </c>
      <c r="D52" s="145">
        <v>2018</v>
      </c>
      <c r="E52" s="146">
        <v>30025</v>
      </c>
      <c r="F52" s="146">
        <f>F53</f>
        <v>0</v>
      </c>
      <c r="G52" s="153"/>
      <c r="H52" s="154"/>
      <c r="I52" s="151" t="s">
        <v>437</v>
      </c>
      <c r="J52" s="149" t="s">
        <v>380</v>
      </c>
      <c r="K52" s="150"/>
    </row>
    <row r="53" spans="1:11" s="155" customFormat="1" x14ac:dyDescent="0.25">
      <c r="A53" s="150"/>
      <c r="B53" s="151" t="s">
        <v>13</v>
      </c>
      <c r="C53" s="150"/>
      <c r="D53" s="150"/>
      <c r="E53" s="152">
        <v>30025</v>
      </c>
      <c r="F53" s="146"/>
      <c r="G53" s="153"/>
      <c r="H53" s="154"/>
      <c r="I53" s="150"/>
      <c r="J53" s="150"/>
      <c r="K53" s="150"/>
    </row>
    <row r="54" spans="1:11" ht="141.75" x14ac:dyDescent="0.25">
      <c r="A54" s="145">
        <v>6</v>
      </c>
      <c r="B54" s="246" t="s">
        <v>283</v>
      </c>
      <c r="C54" s="145" t="s">
        <v>143</v>
      </c>
      <c r="D54" s="145" t="s">
        <v>16</v>
      </c>
      <c r="E54" s="146">
        <f>E55+E56</f>
        <v>2631774.1</v>
      </c>
      <c r="F54" s="146">
        <f>F55+F56</f>
        <v>2631774.1</v>
      </c>
      <c r="G54" s="147">
        <f t="shared" si="2"/>
        <v>100</v>
      </c>
      <c r="H54" s="148">
        <v>100</v>
      </c>
      <c r="I54" s="150"/>
      <c r="J54" s="149" t="s">
        <v>433</v>
      </c>
      <c r="K54" s="150"/>
    </row>
    <row r="55" spans="1:11" s="155" customFormat="1" x14ac:dyDescent="0.25">
      <c r="A55" s="150"/>
      <c r="B55" s="151" t="s">
        <v>13</v>
      </c>
      <c r="C55" s="150"/>
      <c r="D55" s="150"/>
      <c r="E55" s="152">
        <v>2551871.1</v>
      </c>
      <c r="F55" s="152">
        <v>2551871.1</v>
      </c>
      <c r="G55" s="153">
        <f t="shared" si="2"/>
        <v>100</v>
      </c>
      <c r="H55" s="154"/>
      <c r="I55" s="150"/>
      <c r="J55" s="150"/>
      <c r="K55" s="150"/>
    </row>
    <row r="56" spans="1:11" s="155" customFormat="1" x14ac:dyDescent="0.25">
      <c r="A56" s="150"/>
      <c r="B56" s="156" t="s">
        <v>19</v>
      </c>
      <c r="C56" s="150"/>
      <c r="D56" s="150"/>
      <c r="E56" s="152">
        <f>E60+E63</f>
        <v>79903</v>
      </c>
      <c r="F56" s="152">
        <f>F60+F63</f>
        <v>79903</v>
      </c>
      <c r="G56" s="153">
        <f t="shared" si="2"/>
        <v>100</v>
      </c>
      <c r="H56" s="154"/>
      <c r="I56" s="150"/>
      <c r="J56" s="150"/>
      <c r="K56" s="150"/>
    </row>
    <row r="57" spans="1:11" s="155" customFormat="1" x14ac:dyDescent="0.25">
      <c r="A57" s="150"/>
      <c r="B57" s="164" t="s">
        <v>443</v>
      </c>
      <c r="C57" s="150"/>
      <c r="D57" s="150"/>
      <c r="E57" s="152"/>
      <c r="F57" s="152"/>
      <c r="G57" s="153"/>
      <c r="H57" s="154"/>
      <c r="I57" s="150"/>
      <c r="J57" s="150"/>
      <c r="K57" s="150"/>
    </row>
    <row r="58" spans="1:11" s="155" customFormat="1" ht="63" x14ac:dyDescent="0.25">
      <c r="A58" s="150"/>
      <c r="B58" s="246" t="s">
        <v>444</v>
      </c>
      <c r="C58" s="145" t="s">
        <v>143</v>
      </c>
      <c r="D58" s="145" t="s">
        <v>445</v>
      </c>
      <c r="E58" s="146">
        <f>E59+E60</f>
        <v>78563</v>
      </c>
      <c r="F58" s="146">
        <f>F59+F60</f>
        <v>78563</v>
      </c>
      <c r="G58" s="147">
        <f t="shared" ref="G58:G79" si="3">F58/E58*100</f>
        <v>100</v>
      </c>
      <c r="H58" s="148">
        <v>100</v>
      </c>
      <c r="I58" s="150"/>
      <c r="J58" s="149" t="s">
        <v>433</v>
      </c>
      <c r="K58" s="150"/>
    </row>
    <row r="59" spans="1:11" s="155" customFormat="1" x14ac:dyDescent="0.25">
      <c r="A59" s="150"/>
      <c r="B59" s="151" t="s">
        <v>13</v>
      </c>
      <c r="C59" s="150"/>
      <c r="D59" s="150"/>
      <c r="E59" s="152">
        <v>50490</v>
      </c>
      <c r="F59" s="152">
        <v>50490</v>
      </c>
      <c r="G59" s="153">
        <f t="shared" si="3"/>
        <v>100</v>
      </c>
      <c r="H59" s="154"/>
      <c r="I59" s="150"/>
      <c r="J59" s="150"/>
      <c r="K59" s="150"/>
    </row>
    <row r="60" spans="1:11" s="155" customFormat="1" x14ac:dyDescent="0.25">
      <c r="A60" s="150"/>
      <c r="B60" s="156" t="s">
        <v>19</v>
      </c>
      <c r="C60" s="150"/>
      <c r="D60" s="150"/>
      <c r="E60" s="152">
        <v>28073</v>
      </c>
      <c r="F60" s="152">
        <v>28073</v>
      </c>
      <c r="G60" s="153">
        <f t="shared" si="3"/>
        <v>100</v>
      </c>
      <c r="H60" s="154"/>
      <c r="I60" s="150"/>
      <c r="J60" s="150"/>
      <c r="K60" s="150"/>
    </row>
    <row r="61" spans="1:11" s="155" customFormat="1" ht="63" x14ac:dyDescent="0.25">
      <c r="A61" s="150"/>
      <c r="B61" s="246" t="s">
        <v>446</v>
      </c>
      <c r="C61" s="145" t="s">
        <v>143</v>
      </c>
      <c r="D61" s="145" t="s">
        <v>445</v>
      </c>
      <c r="E61" s="146">
        <f>E62+E63</f>
        <v>142700</v>
      </c>
      <c r="F61" s="146">
        <f>F62+F63</f>
        <v>142700</v>
      </c>
      <c r="G61" s="147">
        <f t="shared" si="3"/>
        <v>100</v>
      </c>
      <c r="H61" s="148">
        <v>100</v>
      </c>
      <c r="I61" s="150"/>
      <c r="J61" s="149" t="s">
        <v>433</v>
      </c>
      <c r="K61" s="150"/>
    </row>
    <row r="62" spans="1:11" s="155" customFormat="1" x14ac:dyDescent="0.25">
      <c r="A62" s="150"/>
      <c r="B62" s="151" t="s">
        <v>13</v>
      </c>
      <c r="C62" s="150"/>
      <c r="D62" s="150"/>
      <c r="E62" s="152">
        <v>90870</v>
      </c>
      <c r="F62" s="152">
        <v>90870</v>
      </c>
      <c r="G62" s="153">
        <f t="shared" si="3"/>
        <v>100</v>
      </c>
      <c r="H62" s="154"/>
      <c r="I62" s="150"/>
      <c r="J62" s="150"/>
      <c r="K62" s="150"/>
    </row>
    <row r="63" spans="1:11" s="155" customFormat="1" x14ac:dyDescent="0.25">
      <c r="A63" s="150"/>
      <c r="B63" s="156" t="s">
        <v>19</v>
      </c>
      <c r="C63" s="150"/>
      <c r="D63" s="150"/>
      <c r="E63" s="152">
        <v>51830</v>
      </c>
      <c r="F63" s="152">
        <v>51830</v>
      </c>
      <c r="G63" s="153">
        <f t="shared" si="3"/>
        <v>100</v>
      </c>
      <c r="H63" s="154"/>
      <c r="I63" s="150"/>
      <c r="J63" s="150"/>
      <c r="K63" s="150"/>
    </row>
    <row r="64" spans="1:11" ht="157.5" x14ac:dyDescent="0.25">
      <c r="A64" s="145">
        <v>7</v>
      </c>
      <c r="B64" s="246" t="s">
        <v>266</v>
      </c>
      <c r="C64" s="145" t="s">
        <v>143</v>
      </c>
      <c r="D64" s="147" t="s">
        <v>16</v>
      </c>
      <c r="E64" s="146">
        <f>E65</f>
        <v>675300</v>
      </c>
      <c r="F64" s="146">
        <f>F65</f>
        <v>675300</v>
      </c>
      <c r="G64" s="147">
        <f t="shared" si="3"/>
        <v>100</v>
      </c>
      <c r="H64" s="148">
        <v>100</v>
      </c>
      <c r="I64" s="150"/>
      <c r="J64" s="149" t="s">
        <v>433</v>
      </c>
      <c r="K64" s="150"/>
    </row>
    <row r="65" spans="1:11" s="155" customFormat="1" x14ac:dyDescent="0.25">
      <c r="A65" s="150"/>
      <c r="B65" s="151" t="s">
        <v>13</v>
      </c>
      <c r="C65" s="150"/>
      <c r="D65" s="150"/>
      <c r="E65" s="152">
        <v>675300</v>
      </c>
      <c r="F65" s="152">
        <v>675300</v>
      </c>
      <c r="G65" s="153">
        <f t="shared" si="3"/>
        <v>100</v>
      </c>
      <c r="H65" s="154"/>
      <c r="I65" s="150"/>
      <c r="J65" s="150"/>
      <c r="K65" s="150"/>
    </row>
    <row r="66" spans="1:11" ht="141.75" x14ac:dyDescent="0.25">
      <c r="A66" s="145">
        <v>8</v>
      </c>
      <c r="B66" s="246" t="s">
        <v>265</v>
      </c>
      <c r="C66" s="145" t="s">
        <v>143</v>
      </c>
      <c r="D66" s="145" t="s">
        <v>16</v>
      </c>
      <c r="E66" s="146">
        <f>E67</f>
        <v>517000</v>
      </c>
      <c r="F66" s="146">
        <f>F67</f>
        <v>517000</v>
      </c>
      <c r="G66" s="147">
        <f t="shared" si="3"/>
        <v>100</v>
      </c>
      <c r="H66" s="148">
        <v>100</v>
      </c>
      <c r="I66" s="150"/>
      <c r="J66" s="149" t="s">
        <v>433</v>
      </c>
      <c r="K66" s="150"/>
    </row>
    <row r="67" spans="1:11" s="155" customFormat="1" x14ac:dyDescent="0.25">
      <c r="A67" s="150"/>
      <c r="B67" s="151" t="s">
        <v>13</v>
      </c>
      <c r="C67" s="150"/>
      <c r="D67" s="150"/>
      <c r="E67" s="152">
        <v>517000</v>
      </c>
      <c r="F67" s="152">
        <v>517000</v>
      </c>
      <c r="G67" s="153">
        <f t="shared" si="3"/>
        <v>100</v>
      </c>
      <c r="H67" s="154"/>
      <c r="I67" s="150"/>
      <c r="J67" s="150"/>
      <c r="K67" s="150"/>
    </row>
    <row r="68" spans="1:11" ht="63" x14ac:dyDescent="0.25">
      <c r="A68" s="145">
        <v>9</v>
      </c>
      <c r="B68" s="246" t="s">
        <v>264</v>
      </c>
      <c r="C68" s="145" t="s">
        <v>143</v>
      </c>
      <c r="D68" s="145" t="s">
        <v>16</v>
      </c>
      <c r="E68" s="146">
        <f>E69</f>
        <v>600000</v>
      </c>
      <c r="F68" s="146">
        <f>F69</f>
        <v>308247.17</v>
      </c>
      <c r="G68" s="147">
        <f t="shared" si="3"/>
        <v>51.374528333333338</v>
      </c>
      <c r="H68" s="148">
        <v>100</v>
      </c>
      <c r="I68" s="150"/>
      <c r="J68" s="149" t="s">
        <v>433</v>
      </c>
      <c r="K68" s="150"/>
    </row>
    <row r="69" spans="1:11" s="155" customFormat="1" x14ac:dyDescent="0.25">
      <c r="A69" s="150"/>
      <c r="B69" s="156" t="s">
        <v>19</v>
      </c>
      <c r="C69" s="150"/>
      <c r="D69" s="150"/>
      <c r="E69" s="152">
        <v>600000</v>
      </c>
      <c r="F69" s="152">
        <v>308247.17</v>
      </c>
      <c r="G69" s="153">
        <f t="shared" si="3"/>
        <v>51.374528333333338</v>
      </c>
      <c r="H69" s="154"/>
      <c r="I69" s="150"/>
      <c r="J69" s="150"/>
      <c r="K69" s="150"/>
    </row>
    <row r="70" spans="1:11" x14ac:dyDescent="0.25">
      <c r="A70" s="145"/>
      <c r="B70" s="159" t="s">
        <v>54</v>
      </c>
      <c r="C70" s="150"/>
      <c r="D70" s="150"/>
      <c r="E70" s="160">
        <f>E71+E74</f>
        <v>6061424.0999999996</v>
      </c>
      <c r="F70" s="160">
        <f>F71+F74</f>
        <v>5707321.2699999996</v>
      </c>
      <c r="G70" s="161">
        <f t="shared" si="3"/>
        <v>94.158091825318735</v>
      </c>
      <c r="H70" s="154"/>
      <c r="I70" s="150"/>
      <c r="J70" s="150"/>
      <c r="K70" s="150"/>
    </row>
    <row r="71" spans="1:11" s="155" customFormat="1" x14ac:dyDescent="0.25">
      <c r="A71" s="150"/>
      <c r="B71" s="151" t="s">
        <v>13</v>
      </c>
      <c r="C71" s="150"/>
      <c r="D71" s="150"/>
      <c r="E71" s="152">
        <f>E67+E65+E55+E51+E41</f>
        <v>5355731.0999999996</v>
      </c>
      <c r="F71" s="152">
        <f>F67+F65+F55+F51+F41</f>
        <v>5293381.0999999996</v>
      </c>
      <c r="G71" s="153">
        <f t="shared" si="3"/>
        <v>98.835826541030031</v>
      </c>
      <c r="H71" s="154"/>
      <c r="I71" s="150"/>
      <c r="J71" s="150"/>
      <c r="K71" s="150"/>
    </row>
    <row r="72" spans="1:11" s="155" customFormat="1" x14ac:dyDescent="0.25">
      <c r="A72" s="150"/>
      <c r="B72" s="151" t="s">
        <v>438</v>
      </c>
      <c r="C72" s="150"/>
      <c r="D72" s="150"/>
      <c r="E72" s="152"/>
      <c r="F72" s="152"/>
      <c r="G72" s="153"/>
      <c r="H72" s="154"/>
      <c r="I72" s="150"/>
      <c r="J72" s="150"/>
      <c r="K72" s="150"/>
    </row>
    <row r="73" spans="1:11" s="155" customFormat="1" ht="63" x14ac:dyDescent="0.25">
      <c r="A73" s="150"/>
      <c r="B73" s="151" t="s">
        <v>439</v>
      </c>
      <c r="C73" s="150"/>
      <c r="D73" s="150"/>
      <c r="E73" s="152">
        <f>E48+E59+E62</f>
        <v>190860</v>
      </c>
      <c r="F73" s="152">
        <f>F48+F59+F62</f>
        <v>190860</v>
      </c>
      <c r="G73" s="153">
        <f t="shared" si="3"/>
        <v>100</v>
      </c>
      <c r="H73" s="154"/>
      <c r="I73" s="150"/>
      <c r="J73" s="150"/>
      <c r="K73" s="150"/>
    </row>
    <row r="74" spans="1:11" s="155" customFormat="1" x14ac:dyDescent="0.25">
      <c r="A74" s="150"/>
      <c r="B74" s="156" t="s">
        <v>19</v>
      </c>
      <c r="C74" s="150"/>
      <c r="D74" s="150"/>
      <c r="E74" s="152">
        <f>E69+E42+E56</f>
        <v>705693</v>
      </c>
      <c r="F74" s="152">
        <f>F42+F56+F69</f>
        <v>413940.17</v>
      </c>
      <c r="G74" s="153">
        <f t="shared" si="3"/>
        <v>58.657258893031383</v>
      </c>
      <c r="H74" s="154"/>
      <c r="I74" s="150"/>
      <c r="J74" s="150"/>
      <c r="K74" s="150"/>
    </row>
    <row r="75" spans="1:11" ht="16.5" x14ac:dyDescent="0.25">
      <c r="A75" s="145"/>
      <c r="B75" s="165" t="s">
        <v>73</v>
      </c>
      <c r="C75" s="150"/>
      <c r="D75" s="150"/>
      <c r="E75" s="160">
        <f>E76+E79</f>
        <v>71962522</v>
      </c>
      <c r="F75" s="160">
        <f>F76+F79</f>
        <v>75023735.099999994</v>
      </c>
      <c r="G75" s="161">
        <f t="shared" si="3"/>
        <v>104.2538991337741</v>
      </c>
      <c r="H75" s="154"/>
      <c r="I75" s="150"/>
      <c r="J75" s="150"/>
      <c r="K75" s="150"/>
    </row>
    <row r="76" spans="1:11" s="155" customFormat="1" ht="16.5" x14ac:dyDescent="0.25">
      <c r="A76" s="150"/>
      <c r="B76" s="166" t="s">
        <v>13</v>
      </c>
      <c r="C76" s="150"/>
      <c r="D76" s="150"/>
      <c r="E76" s="152">
        <f>E71+E34</f>
        <v>10875229</v>
      </c>
      <c r="F76" s="152">
        <f>F71+F34</f>
        <v>10777404</v>
      </c>
      <c r="G76" s="153">
        <f t="shared" si="3"/>
        <v>99.100478711758626</v>
      </c>
      <c r="H76" s="154"/>
      <c r="I76" s="150"/>
      <c r="J76" s="150"/>
      <c r="K76" s="150"/>
    </row>
    <row r="77" spans="1:11" s="155" customFormat="1" x14ac:dyDescent="0.25">
      <c r="A77" s="150"/>
      <c r="B77" s="151" t="s">
        <v>438</v>
      </c>
      <c r="C77" s="150"/>
      <c r="D77" s="150"/>
      <c r="E77" s="152"/>
      <c r="F77" s="152"/>
      <c r="G77" s="153"/>
      <c r="H77" s="154"/>
      <c r="I77" s="150"/>
      <c r="J77" s="150"/>
      <c r="K77" s="150"/>
    </row>
    <row r="78" spans="1:11" s="155" customFormat="1" ht="63" x14ac:dyDescent="0.25">
      <c r="A78" s="150"/>
      <c r="B78" s="151" t="s">
        <v>439</v>
      </c>
      <c r="C78" s="150"/>
      <c r="D78" s="150"/>
      <c r="E78" s="152">
        <f>E36+E73</f>
        <v>373174</v>
      </c>
      <c r="F78" s="152">
        <f>F36+F73</f>
        <v>373174</v>
      </c>
      <c r="G78" s="153">
        <f t="shared" si="3"/>
        <v>100</v>
      </c>
      <c r="H78" s="154"/>
      <c r="I78" s="150"/>
      <c r="J78" s="150"/>
      <c r="K78" s="150"/>
    </row>
    <row r="79" spans="1:11" s="155" customFormat="1" ht="16.5" x14ac:dyDescent="0.25">
      <c r="A79" s="150"/>
      <c r="B79" s="166" t="s">
        <v>144</v>
      </c>
      <c r="C79" s="150"/>
      <c r="D79" s="150"/>
      <c r="E79" s="152">
        <f>E37+E74</f>
        <v>61087293</v>
      </c>
      <c r="F79" s="152">
        <f>F37+F74</f>
        <v>64246331.100000001</v>
      </c>
      <c r="G79" s="153">
        <f t="shared" si="3"/>
        <v>105.17135061132927</v>
      </c>
      <c r="H79" s="154"/>
      <c r="I79" s="153"/>
      <c r="J79" s="150"/>
      <c r="K79" s="150"/>
    </row>
    <row r="80" spans="1:11" ht="16.5" x14ac:dyDescent="0.25">
      <c r="A80" s="145"/>
      <c r="B80" s="166"/>
      <c r="C80" s="145"/>
      <c r="D80" s="145"/>
      <c r="E80" s="145"/>
      <c r="F80" s="145"/>
      <c r="G80" s="145"/>
      <c r="H80" s="148"/>
      <c r="I80" s="145"/>
      <c r="J80" s="145"/>
      <c r="K80" s="145"/>
    </row>
    <row r="81" spans="1:11" ht="16.5" x14ac:dyDescent="0.25">
      <c r="A81" s="558" t="s">
        <v>304</v>
      </c>
      <c r="B81" s="558"/>
      <c r="C81" s="558"/>
      <c r="D81" s="558"/>
      <c r="E81" s="558"/>
      <c r="F81" s="558"/>
      <c r="G81" s="558"/>
      <c r="H81" s="558"/>
      <c r="I81" s="558"/>
      <c r="J81" s="558"/>
      <c r="K81" s="558"/>
    </row>
    <row r="82" spans="1:11" ht="16.5" x14ac:dyDescent="0.25">
      <c r="A82" s="550" t="s">
        <v>60</v>
      </c>
      <c r="B82" s="550"/>
      <c r="C82" s="550"/>
      <c r="D82" s="550"/>
      <c r="E82" s="550"/>
      <c r="F82" s="550"/>
      <c r="G82" s="550"/>
      <c r="H82" s="550"/>
      <c r="I82" s="550"/>
      <c r="J82" s="550"/>
      <c r="K82" s="550"/>
    </row>
    <row r="83" spans="1:11" ht="63" x14ac:dyDescent="0.25">
      <c r="A83" s="145">
        <v>10</v>
      </c>
      <c r="B83" s="246" t="s">
        <v>447</v>
      </c>
      <c r="C83" s="145" t="s">
        <v>14</v>
      </c>
      <c r="D83" s="145" t="s">
        <v>16</v>
      </c>
      <c r="E83" s="146">
        <v>914710</v>
      </c>
      <c r="F83" s="146">
        <v>737088.91</v>
      </c>
      <c r="G83" s="147">
        <f t="shared" ref="G83:G86" si="4">F83/E83*100</f>
        <v>80.581704583966513</v>
      </c>
      <c r="H83" s="148">
        <v>100</v>
      </c>
      <c r="I83" s="145"/>
      <c r="J83" s="149" t="s">
        <v>433</v>
      </c>
      <c r="K83" s="145"/>
    </row>
    <row r="84" spans="1:11" s="155" customFormat="1" x14ac:dyDescent="0.25">
      <c r="A84" s="150"/>
      <c r="B84" s="151" t="s">
        <v>13</v>
      </c>
      <c r="C84" s="150"/>
      <c r="D84" s="150"/>
      <c r="E84" s="152">
        <v>914710</v>
      </c>
      <c r="F84" s="152">
        <v>737088.91</v>
      </c>
      <c r="G84" s="153">
        <f t="shared" si="4"/>
        <v>80.581704583966513</v>
      </c>
      <c r="H84" s="154"/>
      <c r="I84" s="150"/>
      <c r="J84" s="150"/>
      <c r="K84" s="150"/>
    </row>
    <row r="85" spans="1:11" x14ac:dyDescent="0.25">
      <c r="A85" s="145"/>
      <c r="B85" s="159" t="s">
        <v>54</v>
      </c>
      <c r="C85" s="145"/>
      <c r="D85" s="145"/>
      <c r="E85" s="160">
        <f>E83</f>
        <v>914710</v>
      </c>
      <c r="F85" s="160">
        <f>F83</f>
        <v>737088.91</v>
      </c>
      <c r="G85" s="161">
        <f t="shared" si="4"/>
        <v>80.581704583966513</v>
      </c>
      <c r="H85" s="148"/>
      <c r="I85" s="145"/>
      <c r="J85" s="145"/>
      <c r="K85" s="145"/>
    </row>
    <row r="86" spans="1:11" s="155" customFormat="1" x14ac:dyDescent="0.25">
      <c r="A86" s="150"/>
      <c r="B86" s="151" t="s">
        <v>13</v>
      </c>
      <c r="C86" s="150"/>
      <c r="D86" s="150"/>
      <c r="E86" s="152">
        <f>E84</f>
        <v>914710</v>
      </c>
      <c r="F86" s="152">
        <f>F84</f>
        <v>737088.91</v>
      </c>
      <c r="G86" s="153">
        <f t="shared" si="4"/>
        <v>80.581704583966513</v>
      </c>
      <c r="H86" s="154"/>
      <c r="I86" s="150"/>
      <c r="J86" s="150"/>
      <c r="K86" s="150"/>
    </row>
    <row r="87" spans="1:11" ht="16.5" x14ac:dyDescent="0.25">
      <c r="A87" s="550" t="s">
        <v>62</v>
      </c>
      <c r="B87" s="550"/>
      <c r="C87" s="550"/>
      <c r="D87" s="550"/>
      <c r="E87" s="550"/>
      <c r="F87" s="550"/>
      <c r="G87" s="550"/>
      <c r="H87" s="550"/>
      <c r="I87" s="550"/>
      <c r="J87" s="550"/>
      <c r="K87" s="550"/>
    </row>
    <row r="88" spans="1:11" ht="63" x14ac:dyDescent="0.25">
      <c r="A88" s="145">
        <v>11</v>
      </c>
      <c r="B88" s="246" t="s">
        <v>63</v>
      </c>
      <c r="C88" s="145" t="s">
        <v>14</v>
      </c>
      <c r="D88" s="145" t="s">
        <v>16</v>
      </c>
      <c r="E88" s="146">
        <v>367626.2</v>
      </c>
      <c r="F88" s="146">
        <v>367607.84</v>
      </c>
      <c r="G88" s="147">
        <f t="shared" ref="G88:G106" si="5">F88/E88*100</f>
        <v>99.995005796648883</v>
      </c>
      <c r="H88" s="148">
        <v>100</v>
      </c>
      <c r="I88" s="145"/>
      <c r="J88" s="149" t="s">
        <v>433</v>
      </c>
      <c r="K88" s="167"/>
    </row>
    <row r="89" spans="1:11" ht="16.5" x14ac:dyDescent="0.25">
      <c r="A89" s="150"/>
      <c r="B89" s="151" t="s">
        <v>13</v>
      </c>
      <c r="C89" s="150"/>
      <c r="D89" s="150"/>
      <c r="E89" s="152">
        <v>367626.2</v>
      </c>
      <c r="F89" s="152">
        <v>367607.84</v>
      </c>
      <c r="G89" s="153">
        <f t="shared" si="5"/>
        <v>99.995005796648883</v>
      </c>
      <c r="H89" s="154"/>
      <c r="I89" s="150"/>
      <c r="J89" s="150"/>
      <c r="K89" s="167"/>
    </row>
    <row r="90" spans="1:11" x14ac:dyDescent="0.25">
      <c r="A90" s="145"/>
      <c r="B90" s="159" t="s">
        <v>54</v>
      </c>
      <c r="C90" s="145"/>
      <c r="D90" s="145"/>
      <c r="E90" s="160">
        <f>E88</f>
        <v>367626.2</v>
      </c>
      <c r="F90" s="160">
        <f>F88</f>
        <v>367607.84</v>
      </c>
      <c r="G90" s="161">
        <f t="shared" si="5"/>
        <v>99.995005796648883</v>
      </c>
      <c r="H90" s="148"/>
      <c r="I90" s="145"/>
      <c r="J90" s="145"/>
      <c r="K90" s="145"/>
    </row>
    <row r="91" spans="1:11" s="155" customFormat="1" x14ac:dyDescent="0.25">
      <c r="A91" s="150"/>
      <c r="B91" s="151" t="s">
        <v>13</v>
      </c>
      <c r="C91" s="150"/>
      <c r="D91" s="150"/>
      <c r="E91" s="152">
        <f>E89</f>
        <v>367626.2</v>
      </c>
      <c r="F91" s="152">
        <f>F89</f>
        <v>367607.84</v>
      </c>
      <c r="G91" s="153">
        <f t="shared" si="5"/>
        <v>99.995005796648883</v>
      </c>
      <c r="H91" s="154"/>
      <c r="I91" s="150"/>
      <c r="J91" s="150"/>
      <c r="K91" s="150"/>
    </row>
    <row r="92" spans="1:11" ht="16.5" x14ac:dyDescent="0.25">
      <c r="A92" s="550" t="s">
        <v>64</v>
      </c>
      <c r="B92" s="550"/>
      <c r="C92" s="550"/>
      <c r="D92" s="550"/>
      <c r="E92" s="550"/>
      <c r="F92" s="550"/>
      <c r="G92" s="550"/>
      <c r="H92" s="550"/>
      <c r="I92" s="550"/>
      <c r="J92" s="550"/>
      <c r="K92" s="550"/>
    </row>
    <row r="93" spans="1:11" ht="63" x14ac:dyDescent="0.25">
      <c r="A93" s="145">
        <v>12</v>
      </c>
      <c r="B93" s="246" t="s">
        <v>66</v>
      </c>
      <c r="C93" s="145" t="s">
        <v>14</v>
      </c>
      <c r="D93" s="145" t="s">
        <v>16</v>
      </c>
      <c r="E93" s="146">
        <v>24000</v>
      </c>
      <c r="F93" s="146">
        <v>24000</v>
      </c>
      <c r="G93" s="147">
        <f t="shared" si="5"/>
        <v>100</v>
      </c>
      <c r="H93" s="148">
        <v>100</v>
      </c>
      <c r="I93" s="145"/>
      <c r="J93" s="149" t="s">
        <v>433</v>
      </c>
      <c r="K93" s="145"/>
    </row>
    <row r="94" spans="1:11" s="155" customFormat="1" x14ac:dyDescent="0.25">
      <c r="A94" s="150"/>
      <c r="B94" s="151" t="s">
        <v>53</v>
      </c>
      <c r="C94" s="150"/>
      <c r="D94" s="150"/>
      <c r="E94" s="152">
        <v>24000</v>
      </c>
      <c r="F94" s="152">
        <v>24000</v>
      </c>
      <c r="G94" s="153">
        <f t="shared" si="5"/>
        <v>100</v>
      </c>
      <c r="H94" s="154"/>
      <c r="I94" s="150"/>
      <c r="J94" s="150"/>
      <c r="K94" s="150"/>
    </row>
    <row r="95" spans="1:11" x14ac:dyDescent="0.25">
      <c r="A95" s="145"/>
      <c r="B95" s="159" t="s">
        <v>54</v>
      </c>
      <c r="C95" s="145"/>
      <c r="D95" s="145"/>
      <c r="E95" s="160">
        <f>E93</f>
        <v>24000</v>
      </c>
      <c r="F95" s="160">
        <f>F93</f>
        <v>24000</v>
      </c>
      <c r="G95" s="161">
        <f t="shared" si="5"/>
        <v>100</v>
      </c>
      <c r="H95" s="148"/>
      <c r="I95" s="145"/>
      <c r="J95" s="145"/>
      <c r="K95" s="145"/>
    </row>
    <row r="96" spans="1:11" s="155" customFormat="1" x14ac:dyDescent="0.25">
      <c r="A96" s="150"/>
      <c r="B96" s="151" t="s">
        <v>53</v>
      </c>
      <c r="C96" s="150"/>
      <c r="D96" s="150"/>
      <c r="E96" s="152">
        <f>E94</f>
        <v>24000</v>
      </c>
      <c r="F96" s="152">
        <f>F94</f>
        <v>24000</v>
      </c>
      <c r="G96" s="153">
        <f t="shared" si="5"/>
        <v>100</v>
      </c>
      <c r="H96" s="154"/>
      <c r="I96" s="150"/>
      <c r="J96" s="150"/>
      <c r="K96" s="150"/>
    </row>
    <row r="97" spans="1:11" ht="16.5" x14ac:dyDescent="0.25">
      <c r="A97" s="550" t="s">
        <v>67</v>
      </c>
      <c r="B97" s="550"/>
      <c r="C97" s="550"/>
      <c r="D97" s="550"/>
      <c r="E97" s="550"/>
      <c r="F97" s="550"/>
      <c r="G97" s="550"/>
      <c r="H97" s="550"/>
      <c r="I97" s="550"/>
      <c r="J97" s="550"/>
      <c r="K97" s="550"/>
    </row>
    <row r="98" spans="1:11" ht="110.25" x14ac:dyDescent="0.25">
      <c r="A98" s="145">
        <v>13</v>
      </c>
      <c r="B98" s="246" t="s">
        <v>68</v>
      </c>
      <c r="C98" s="145" t="s">
        <v>14</v>
      </c>
      <c r="D98" s="145" t="s">
        <v>16</v>
      </c>
      <c r="E98" s="146">
        <v>120593</v>
      </c>
      <c r="F98" s="146">
        <v>120405.15</v>
      </c>
      <c r="G98" s="147">
        <f t="shared" si="5"/>
        <v>99.844228106108972</v>
      </c>
      <c r="H98" s="148">
        <v>100</v>
      </c>
      <c r="I98" s="145"/>
      <c r="J98" s="149" t="s">
        <v>433</v>
      </c>
      <c r="K98" s="246"/>
    </row>
    <row r="99" spans="1:11" s="155" customFormat="1" x14ac:dyDescent="0.25">
      <c r="A99" s="150"/>
      <c r="B99" s="151" t="s">
        <v>13</v>
      </c>
      <c r="C99" s="150"/>
      <c r="D99" s="150"/>
      <c r="E99" s="152">
        <v>120593</v>
      </c>
      <c r="F99" s="152">
        <v>120405.15</v>
      </c>
      <c r="G99" s="153">
        <f t="shared" si="5"/>
        <v>99.844228106108972</v>
      </c>
      <c r="H99" s="154"/>
      <c r="I99" s="150"/>
      <c r="J99" s="150"/>
      <c r="K99" s="150"/>
    </row>
    <row r="100" spans="1:11" x14ac:dyDescent="0.25">
      <c r="A100" s="145"/>
      <c r="B100" s="159" t="s">
        <v>54</v>
      </c>
      <c r="C100" s="145"/>
      <c r="D100" s="145"/>
      <c r="E100" s="160">
        <f>E98</f>
        <v>120593</v>
      </c>
      <c r="F100" s="160">
        <f>F98</f>
        <v>120405.15</v>
      </c>
      <c r="G100" s="161">
        <f t="shared" si="5"/>
        <v>99.844228106108972</v>
      </c>
      <c r="H100" s="148"/>
      <c r="I100" s="145"/>
      <c r="J100" s="145"/>
      <c r="K100" s="145"/>
    </row>
    <row r="101" spans="1:11" s="155" customFormat="1" x14ac:dyDescent="0.25">
      <c r="A101" s="150"/>
      <c r="B101" s="151" t="s">
        <v>13</v>
      </c>
      <c r="C101" s="150"/>
      <c r="D101" s="150"/>
      <c r="E101" s="152">
        <f>E99</f>
        <v>120593</v>
      </c>
      <c r="F101" s="152">
        <f>F99</f>
        <v>120405.15</v>
      </c>
      <c r="G101" s="153">
        <f t="shared" si="5"/>
        <v>99.844228106108972</v>
      </c>
      <c r="H101" s="154"/>
      <c r="I101" s="150"/>
      <c r="J101" s="150"/>
      <c r="K101" s="150"/>
    </row>
    <row r="102" spans="1:11" ht="16.5" x14ac:dyDescent="0.25">
      <c r="A102" s="550" t="s">
        <v>69</v>
      </c>
      <c r="B102" s="550"/>
      <c r="C102" s="550"/>
      <c r="D102" s="550"/>
      <c r="E102" s="550"/>
      <c r="F102" s="550"/>
      <c r="G102" s="550"/>
      <c r="H102" s="550"/>
      <c r="I102" s="550"/>
      <c r="J102" s="550"/>
      <c r="K102" s="550"/>
    </row>
    <row r="103" spans="1:11" ht="63" x14ac:dyDescent="0.25">
      <c r="A103" s="145">
        <v>14</v>
      </c>
      <c r="B103" s="246" t="s">
        <v>70</v>
      </c>
      <c r="C103" s="145" t="s">
        <v>14</v>
      </c>
      <c r="D103" s="145" t="s">
        <v>16</v>
      </c>
      <c r="E103" s="146">
        <v>10000</v>
      </c>
      <c r="F103" s="146">
        <v>9985.36</v>
      </c>
      <c r="G103" s="147">
        <f t="shared" si="5"/>
        <v>99.853600000000014</v>
      </c>
      <c r="H103" s="148">
        <v>100</v>
      </c>
      <c r="I103" s="145"/>
      <c r="J103" s="149" t="s">
        <v>433</v>
      </c>
      <c r="K103" s="145"/>
    </row>
    <row r="104" spans="1:11" s="155" customFormat="1" x14ac:dyDescent="0.25">
      <c r="A104" s="150"/>
      <c r="B104" s="151" t="s">
        <v>13</v>
      </c>
      <c r="C104" s="150"/>
      <c r="D104" s="150"/>
      <c r="E104" s="152">
        <v>10000</v>
      </c>
      <c r="F104" s="152">
        <v>9985.36</v>
      </c>
      <c r="G104" s="153">
        <f t="shared" si="5"/>
        <v>99.853600000000014</v>
      </c>
      <c r="H104" s="154"/>
      <c r="I104" s="150"/>
      <c r="J104" s="150"/>
      <c r="K104" s="150"/>
    </row>
    <row r="105" spans="1:11" ht="63" x14ac:dyDescent="0.25">
      <c r="A105" s="145">
        <v>15</v>
      </c>
      <c r="B105" s="246" t="s">
        <v>71</v>
      </c>
      <c r="C105" s="145" t="s">
        <v>14</v>
      </c>
      <c r="D105" s="145" t="s">
        <v>16</v>
      </c>
      <c r="E105" s="146">
        <v>11050</v>
      </c>
      <c r="F105" s="146">
        <v>11050</v>
      </c>
      <c r="G105" s="147">
        <f t="shared" si="5"/>
        <v>100</v>
      </c>
      <c r="H105" s="148">
        <v>100</v>
      </c>
      <c r="I105" s="145"/>
      <c r="J105" s="149" t="s">
        <v>433</v>
      </c>
      <c r="K105" s="145"/>
    </row>
    <row r="106" spans="1:11" s="155" customFormat="1" x14ac:dyDescent="0.25">
      <c r="A106" s="150"/>
      <c r="B106" s="151" t="s">
        <v>13</v>
      </c>
      <c r="C106" s="150"/>
      <c r="D106" s="150"/>
      <c r="E106" s="152">
        <v>11050</v>
      </c>
      <c r="F106" s="152">
        <v>11050</v>
      </c>
      <c r="G106" s="153">
        <f t="shared" si="5"/>
        <v>100</v>
      </c>
      <c r="H106" s="154"/>
      <c r="I106" s="150"/>
      <c r="J106" s="150"/>
      <c r="K106" s="150"/>
    </row>
    <row r="107" spans="1:11" ht="204.75" x14ac:dyDescent="0.25">
      <c r="A107" s="145">
        <v>16</v>
      </c>
      <c r="B107" s="246" t="s">
        <v>72</v>
      </c>
      <c r="C107" s="145" t="s">
        <v>14</v>
      </c>
      <c r="D107" s="145" t="s">
        <v>16</v>
      </c>
      <c r="E107" s="146">
        <v>10000</v>
      </c>
      <c r="F107" s="146">
        <v>9977.2000000000007</v>
      </c>
      <c r="G107" s="147">
        <f>F107/E107*100</f>
        <v>99.772000000000006</v>
      </c>
      <c r="H107" s="148">
        <v>100</v>
      </c>
      <c r="I107" s="145"/>
      <c r="J107" s="149" t="s">
        <v>433</v>
      </c>
      <c r="K107" s="145"/>
    </row>
    <row r="108" spans="1:11" s="155" customFormat="1" x14ac:dyDescent="0.25">
      <c r="A108" s="150"/>
      <c r="B108" s="151" t="s">
        <v>13</v>
      </c>
      <c r="C108" s="150"/>
      <c r="D108" s="150"/>
      <c r="E108" s="152">
        <v>10000</v>
      </c>
      <c r="F108" s="152">
        <v>9977.2000000000007</v>
      </c>
      <c r="G108" s="153">
        <f>F108/E108*100</f>
        <v>99.772000000000006</v>
      </c>
      <c r="H108" s="154"/>
      <c r="I108" s="150"/>
      <c r="J108" s="150"/>
      <c r="K108" s="150"/>
    </row>
    <row r="109" spans="1:11" x14ac:dyDescent="0.25">
      <c r="A109" s="145"/>
      <c r="B109" s="159" t="s">
        <v>54</v>
      </c>
      <c r="C109" s="145"/>
      <c r="D109" s="145"/>
      <c r="E109" s="160">
        <f>E103+E105+E107</f>
        <v>31050</v>
      </c>
      <c r="F109" s="160">
        <f>F103+F105+F107</f>
        <v>31012.560000000001</v>
      </c>
      <c r="G109" s="161">
        <f>F109/E109*100</f>
        <v>99.879420289855076</v>
      </c>
      <c r="H109" s="148"/>
      <c r="I109" s="145"/>
      <c r="J109" s="146"/>
      <c r="K109" s="146"/>
    </row>
    <row r="110" spans="1:11" s="155" customFormat="1" x14ac:dyDescent="0.25">
      <c r="A110" s="150"/>
      <c r="B110" s="151" t="s">
        <v>13</v>
      </c>
      <c r="C110" s="150"/>
      <c r="D110" s="150"/>
      <c r="E110" s="152">
        <f>E104+E106+E108</f>
        <v>31050</v>
      </c>
      <c r="F110" s="152">
        <f>F104+F106+F108</f>
        <v>31012.560000000001</v>
      </c>
      <c r="G110" s="153">
        <f>F110/E110*100</f>
        <v>99.879420289855076</v>
      </c>
      <c r="H110" s="154"/>
      <c r="I110" s="150"/>
      <c r="J110" s="150"/>
      <c r="K110" s="150"/>
    </row>
    <row r="111" spans="1:11" ht="16.5" x14ac:dyDescent="0.25">
      <c r="A111" s="550" t="s">
        <v>35</v>
      </c>
      <c r="B111" s="550"/>
      <c r="C111" s="550"/>
      <c r="D111" s="550"/>
      <c r="E111" s="550"/>
      <c r="F111" s="550"/>
      <c r="G111" s="550"/>
      <c r="H111" s="550"/>
      <c r="I111" s="550"/>
      <c r="J111" s="550"/>
      <c r="K111" s="550"/>
    </row>
    <row r="112" spans="1:11" ht="110.25" x14ac:dyDescent="0.25">
      <c r="A112" s="145">
        <v>17</v>
      </c>
      <c r="B112" s="246" t="s">
        <v>448</v>
      </c>
      <c r="C112" s="129" t="s">
        <v>14</v>
      </c>
      <c r="D112" s="167">
        <v>2018</v>
      </c>
      <c r="E112" s="146">
        <v>23656</v>
      </c>
      <c r="F112" s="146">
        <v>23656</v>
      </c>
      <c r="G112" s="147">
        <f t="shared" ref="G112:G125" si="6">F112/E112*100</f>
        <v>100</v>
      </c>
      <c r="H112" s="148">
        <v>100</v>
      </c>
      <c r="I112" s="167"/>
      <c r="J112" s="149" t="s">
        <v>380</v>
      </c>
      <c r="K112" s="167"/>
    </row>
    <row r="113" spans="1:11" ht="16.5" x14ac:dyDescent="0.25">
      <c r="A113" s="145"/>
      <c r="B113" s="151" t="s">
        <v>13</v>
      </c>
      <c r="C113" s="167"/>
      <c r="D113" s="167"/>
      <c r="E113" s="152">
        <v>23656</v>
      </c>
      <c r="F113" s="152">
        <v>23656</v>
      </c>
      <c r="G113" s="153">
        <f t="shared" si="6"/>
        <v>100</v>
      </c>
      <c r="H113" s="167"/>
      <c r="I113" s="167"/>
      <c r="J113" s="167"/>
      <c r="K113" s="167"/>
    </row>
    <row r="114" spans="1:11" ht="63" x14ac:dyDescent="0.25">
      <c r="A114" s="145">
        <v>18</v>
      </c>
      <c r="B114" s="246" t="s">
        <v>46</v>
      </c>
      <c r="C114" s="129" t="s">
        <v>14</v>
      </c>
      <c r="D114" s="129" t="s">
        <v>44</v>
      </c>
      <c r="E114" s="146">
        <v>5000</v>
      </c>
      <c r="F114" s="146">
        <f>F115</f>
        <v>5000</v>
      </c>
      <c r="G114" s="147">
        <f t="shared" si="6"/>
        <v>100</v>
      </c>
      <c r="H114" s="148">
        <v>100</v>
      </c>
      <c r="I114" s="145"/>
      <c r="J114" s="149" t="s">
        <v>433</v>
      </c>
      <c r="K114" s="145"/>
    </row>
    <row r="115" spans="1:11" s="155" customFormat="1" x14ac:dyDescent="0.25">
      <c r="A115" s="150"/>
      <c r="B115" s="151" t="s">
        <v>13</v>
      </c>
      <c r="C115" s="150"/>
      <c r="D115" s="150"/>
      <c r="E115" s="152">
        <v>5000</v>
      </c>
      <c r="F115" s="152">
        <v>5000</v>
      </c>
      <c r="G115" s="153">
        <f t="shared" si="6"/>
        <v>100</v>
      </c>
      <c r="H115" s="154"/>
      <c r="I115" s="150"/>
      <c r="J115" s="150"/>
      <c r="K115" s="150"/>
    </row>
    <row r="116" spans="1:11" ht="63" x14ac:dyDescent="0.25">
      <c r="A116" s="145">
        <v>19</v>
      </c>
      <c r="B116" s="246" t="s">
        <v>275</v>
      </c>
      <c r="C116" s="129" t="s">
        <v>14</v>
      </c>
      <c r="D116" s="129" t="s">
        <v>274</v>
      </c>
      <c r="E116" s="146">
        <v>46000</v>
      </c>
      <c r="F116" s="146">
        <v>46000</v>
      </c>
      <c r="G116" s="147">
        <f t="shared" si="6"/>
        <v>100</v>
      </c>
      <c r="H116" s="148">
        <v>100</v>
      </c>
      <c r="I116" s="145"/>
      <c r="J116" s="149" t="s">
        <v>399</v>
      </c>
      <c r="K116" s="145"/>
    </row>
    <row r="117" spans="1:11" s="155" customFormat="1" x14ac:dyDescent="0.25">
      <c r="A117" s="150"/>
      <c r="B117" s="151" t="s">
        <v>13</v>
      </c>
      <c r="C117" s="150"/>
      <c r="D117" s="150"/>
      <c r="E117" s="152">
        <v>46000</v>
      </c>
      <c r="F117" s="152">
        <v>46000</v>
      </c>
      <c r="G117" s="153">
        <f t="shared" si="6"/>
        <v>100</v>
      </c>
      <c r="H117" s="154"/>
      <c r="I117" s="150"/>
      <c r="J117" s="150"/>
      <c r="K117" s="150"/>
    </row>
    <row r="118" spans="1:11" ht="78.75" x14ac:dyDescent="0.25">
      <c r="A118" s="145">
        <v>20</v>
      </c>
      <c r="B118" s="246" t="s">
        <v>276</v>
      </c>
      <c r="C118" s="129" t="s">
        <v>14</v>
      </c>
      <c r="D118" s="129" t="s">
        <v>274</v>
      </c>
      <c r="E118" s="146">
        <v>38500</v>
      </c>
      <c r="F118" s="146">
        <v>38500</v>
      </c>
      <c r="G118" s="147">
        <f t="shared" si="6"/>
        <v>100</v>
      </c>
      <c r="H118" s="148">
        <v>100</v>
      </c>
      <c r="I118" s="145"/>
      <c r="J118" s="149" t="s">
        <v>399</v>
      </c>
      <c r="K118" s="145"/>
    </row>
    <row r="119" spans="1:11" s="155" customFormat="1" x14ac:dyDescent="0.25">
      <c r="A119" s="150"/>
      <c r="B119" s="151" t="s">
        <v>13</v>
      </c>
      <c r="C119" s="150"/>
      <c r="D119" s="150"/>
      <c r="E119" s="152">
        <v>38500</v>
      </c>
      <c r="F119" s="152">
        <v>38500</v>
      </c>
      <c r="G119" s="153">
        <f t="shared" si="6"/>
        <v>100</v>
      </c>
      <c r="H119" s="154"/>
      <c r="I119" s="150"/>
      <c r="J119" s="150"/>
      <c r="K119" s="150"/>
    </row>
    <row r="120" spans="1:11" ht="63" x14ac:dyDescent="0.25">
      <c r="A120" s="145">
        <v>21</v>
      </c>
      <c r="B120" s="246" t="s">
        <v>47</v>
      </c>
      <c r="C120" s="168" t="s">
        <v>48</v>
      </c>
      <c r="D120" s="129" t="s">
        <v>15</v>
      </c>
      <c r="E120" s="146">
        <v>55660</v>
      </c>
      <c r="F120" s="146">
        <v>55660</v>
      </c>
      <c r="G120" s="147">
        <f t="shared" si="6"/>
        <v>100</v>
      </c>
      <c r="H120" s="148">
        <v>100</v>
      </c>
      <c r="I120" s="167"/>
      <c r="J120" s="149" t="s">
        <v>399</v>
      </c>
      <c r="K120" s="145"/>
    </row>
    <row r="121" spans="1:11" s="155" customFormat="1" x14ac:dyDescent="0.25">
      <c r="A121" s="150"/>
      <c r="B121" s="151" t="s">
        <v>13</v>
      </c>
      <c r="C121" s="150"/>
      <c r="D121" s="150"/>
      <c r="E121" s="152">
        <v>55660</v>
      </c>
      <c r="F121" s="152">
        <v>55660</v>
      </c>
      <c r="G121" s="147">
        <f t="shared" si="6"/>
        <v>100</v>
      </c>
      <c r="H121" s="154"/>
      <c r="I121" s="150"/>
      <c r="J121" s="150"/>
      <c r="K121" s="150"/>
    </row>
    <row r="122" spans="1:11" ht="110.25" x14ac:dyDescent="0.25">
      <c r="A122" s="145">
        <v>22</v>
      </c>
      <c r="B122" s="246" t="s">
        <v>49</v>
      </c>
      <c r="C122" s="168" t="s">
        <v>50</v>
      </c>
      <c r="D122" s="129" t="s">
        <v>15</v>
      </c>
      <c r="E122" s="146">
        <v>25000</v>
      </c>
      <c r="F122" s="146">
        <v>25000</v>
      </c>
      <c r="G122" s="147">
        <f t="shared" si="6"/>
        <v>100</v>
      </c>
      <c r="H122" s="148">
        <v>100</v>
      </c>
      <c r="I122" s="167"/>
      <c r="J122" s="149" t="s">
        <v>433</v>
      </c>
      <c r="K122" s="145"/>
    </row>
    <row r="123" spans="1:11" s="155" customFormat="1" x14ac:dyDescent="0.25">
      <c r="A123" s="150"/>
      <c r="B123" s="151" t="s">
        <v>13</v>
      </c>
      <c r="C123" s="150"/>
      <c r="D123" s="150"/>
      <c r="E123" s="152">
        <v>25000</v>
      </c>
      <c r="F123" s="152">
        <v>25000</v>
      </c>
      <c r="G123" s="153">
        <f t="shared" si="6"/>
        <v>100</v>
      </c>
      <c r="H123" s="154"/>
      <c r="I123" s="150"/>
      <c r="J123" s="150"/>
      <c r="K123" s="150"/>
    </row>
    <row r="124" spans="1:11" ht="78.75" x14ac:dyDescent="0.25">
      <c r="A124" s="145">
        <v>23</v>
      </c>
      <c r="B124" s="246" t="s">
        <v>51</v>
      </c>
      <c r="C124" s="145" t="s">
        <v>50</v>
      </c>
      <c r="D124" s="129" t="s">
        <v>52</v>
      </c>
      <c r="E124" s="146">
        <v>24500</v>
      </c>
      <c r="F124" s="146">
        <v>24500</v>
      </c>
      <c r="G124" s="147">
        <f t="shared" si="6"/>
        <v>100</v>
      </c>
      <c r="H124" s="148">
        <v>100</v>
      </c>
      <c r="I124" s="167"/>
      <c r="J124" s="149" t="s">
        <v>449</v>
      </c>
      <c r="K124" s="145"/>
    </row>
    <row r="125" spans="1:11" s="155" customFormat="1" x14ac:dyDescent="0.25">
      <c r="A125" s="150"/>
      <c r="B125" s="151" t="s">
        <v>13</v>
      </c>
      <c r="C125" s="150"/>
      <c r="D125" s="150"/>
      <c r="E125" s="152">
        <v>24500</v>
      </c>
      <c r="F125" s="152">
        <v>24500</v>
      </c>
      <c r="G125" s="153">
        <f t="shared" si="6"/>
        <v>100</v>
      </c>
      <c r="H125" s="154"/>
      <c r="I125" s="150"/>
      <c r="J125" s="150"/>
      <c r="K125" s="150"/>
    </row>
    <row r="126" spans="1:11" s="155" customFormat="1" ht="16.5" x14ac:dyDescent="0.25">
      <c r="A126" s="150"/>
      <c r="B126" s="166"/>
      <c r="C126" s="150"/>
      <c r="D126" s="150"/>
      <c r="E126" s="152"/>
      <c r="F126" s="152"/>
      <c r="G126" s="150"/>
      <c r="H126" s="154"/>
      <c r="I126" s="150"/>
      <c r="J126" s="150"/>
      <c r="K126" s="150"/>
    </row>
    <row r="127" spans="1:11" x14ac:dyDescent="0.25">
      <c r="A127" s="145"/>
      <c r="B127" s="159" t="s">
        <v>54</v>
      </c>
      <c r="C127" s="145"/>
      <c r="D127" s="145"/>
      <c r="E127" s="160">
        <f>E128</f>
        <v>218316</v>
      </c>
      <c r="F127" s="160">
        <f>F128</f>
        <v>218316</v>
      </c>
      <c r="G127" s="169">
        <f>F127/E127*100</f>
        <v>100</v>
      </c>
      <c r="H127" s="148"/>
      <c r="I127" s="145"/>
      <c r="J127" s="145"/>
      <c r="K127" s="145"/>
    </row>
    <row r="128" spans="1:11" x14ac:dyDescent="0.25">
      <c r="A128" s="145"/>
      <c r="B128" s="151" t="s">
        <v>13</v>
      </c>
      <c r="C128" s="150"/>
      <c r="D128" s="150"/>
      <c r="E128" s="152">
        <f>E112+E114+E116+E118+E120+E122+E124</f>
        <v>218316</v>
      </c>
      <c r="F128" s="152">
        <f>F112+F114+F116+F118+F120+F122+F124</f>
        <v>218316</v>
      </c>
      <c r="G128" s="170">
        <f>F128/E128*100</f>
        <v>100</v>
      </c>
      <c r="H128" s="148"/>
      <c r="I128" s="145"/>
      <c r="J128" s="145"/>
      <c r="K128" s="145"/>
    </row>
    <row r="129" spans="1:11" s="155" customFormat="1" ht="16.5" x14ac:dyDescent="0.25">
      <c r="A129" s="150"/>
      <c r="B129" s="166" t="s">
        <v>324</v>
      </c>
      <c r="C129" s="150"/>
      <c r="D129" s="150"/>
      <c r="E129" s="152"/>
      <c r="F129" s="152"/>
      <c r="G129" s="170"/>
      <c r="H129" s="154"/>
      <c r="I129" s="150"/>
      <c r="J129" s="150"/>
      <c r="K129" s="150"/>
    </row>
    <row r="130" spans="1:11" ht="16.5" x14ac:dyDescent="0.25">
      <c r="A130" s="550" t="s">
        <v>55</v>
      </c>
      <c r="B130" s="550"/>
      <c r="C130" s="550"/>
      <c r="D130" s="550"/>
      <c r="E130" s="550"/>
      <c r="F130" s="550"/>
      <c r="G130" s="550"/>
      <c r="H130" s="550"/>
      <c r="I130" s="550"/>
      <c r="J130" s="550"/>
      <c r="K130" s="550"/>
    </row>
    <row r="131" spans="1:11" ht="63" x14ac:dyDescent="0.25">
      <c r="A131" s="145">
        <v>24</v>
      </c>
      <c r="B131" s="246" t="s">
        <v>56</v>
      </c>
      <c r="C131" s="129" t="s">
        <v>14</v>
      </c>
      <c r="D131" s="145" t="s">
        <v>57</v>
      </c>
      <c r="E131" s="171">
        <v>69519.289999999994</v>
      </c>
      <c r="F131" s="171">
        <v>69519.289999999994</v>
      </c>
      <c r="G131" s="172">
        <f>F131/E131*100</f>
        <v>100</v>
      </c>
      <c r="H131" s="173">
        <v>100</v>
      </c>
      <c r="I131" s="164"/>
      <c r="J131" s="149" t="s">
        <v>449</v>
      </c>
      <c r="K131" s="145"/>
    </row>
    <row r="132" spans="1:11" s="155" customFormat="1" x14ac:dyDescent="0.25">
      <c r="A132" s="150"/>
      <c r="B132" s="151" t="s">
        <v>13</v>
      </c>
      <c r="C132" s="150"/>
      <c r="D132" s="150"/>
      <c r="E132" s="174">
        <v>69519.289999999994</v>
      </c>
      <c r="F132" s="174">
        <v>69519.289999999994</v>
      </c>
      <c r="G132" s="175">
        <f>F132/E132*100</f>
        <v>100</v>
      </c>
      <c r="H132" s="154"/>
      <c r="I132" s="150"/>
      <c r="J132" s="150"/>
      <c r="K132" s="150"/>
    </row>
    <row r="133" spans="1:11" ht="63" x14ac:dyDescent="0.25">
      <c r="A133" s="145">
        <v>25</v>
      </c>
      <c r="B133" s="246" t="s">
        <v>277</v>
      </c>
      <c r="C133" s="129" t="s">
        <v>14</v>
      </c>
      <c r="D133" s="145" t="s">
        <v>280</v>
      </c>
      <c r="E133" s="171">
        <v>37370.51</v>
      </c>
      <c r="F133" s="171">
        <v>37370.51</v>
      </c>
      <c r="G133" s="172">
        <f t="shared" ref="G133:G140" si="7">F133/E133*100</f>
        <v>100</v>
      </c>
      <c r="H133" s="173">
        <v>100</v>
      </c>
      <c r="I133" s="145"/>
      <c r="J133" s="149" t="s">
        <v>450</v>
      </c>
      <c r="K133" s="145"/>
    </row>
    <row r="134" spans="1:11" s="155" customFormat="1" x14ac:dyDescent="0.25">
      <c r="A134" s="150"/>
      <c r="B134" s="151" t="s">
        <v>13</v>
      </c>
      <c r="C134" s="150"/>
      <c r="D134" s="150"/>
      <c r="E134" s="174">
        <v>37370.51</v>
      </c>
      <c r="F134" s="174">
        <v>37370.51</v>
      </c>
      <c r="G134" s="175">
        <f t="shared" si="7"/>
        <v>100</v>
      </c>
      <c r="H134" s="154"/>
      <c r="I134" s="150"/>
      <c r="J134" s="150"/>
      <c r="K134" s="150"/>
    </row>
    <row r="135" spans="1:11" x14ac:dyDescent="0.25">
      <c r="A135" s="145"/>
      <c r="B135" s="159" t="s">
        <v>54</v>
      </c>
      <c r="C135" s="145"/>
      <c r="D135" s="145"/>
      <c r="E135" s="176">
        <f>E131+E133</f>
        <v>106889.79999999999</v>
      </c>
      <c r="F135" s="176">
        <f>F133+F131</f>
        <v>106889.79999999999</v>
      </c>
      <c r="G135" s="177">
        <f t="shared" si="7"/>
        <v>100</v>
      </c>
      <c r="H135" s="148"/>
      <c r="I135" s="145"/>
      <c r="J135" s="145"/>
      <c r="K135" s="145"/>
    </row>
    <row r="136" spans="1:11" s="155" customFormat="1" x14ac:dyDescent="0.25">
      <c r="A136" s="150"/>
      <c r="B136" s="151" t="s">
        <v>13</v>
      </c>
      <c r="C136" s="150"/>
      <c r="D136" s="150"/>
      <c r="E136" s="174">
        <f>E132+E134</f>
        <v>106889.79999999999</v>
      </c>
      <c r="F136" s="174">
        <f>F134+F132</f>
        <v>106889.79999999999</v>
      </c>
      <c r="G136" s="172">
        <f t="shared" si="7"/>
        <v>100</v>
      </c>
      <c r="H136" s="154"/>
      <c r="I136" s="150"/>
      <c r="J136" s="150"/>
      <c r="K136" s="150"/>
    </row>
    <row r="137" spans="1:11" ht="16.5" x14ac:dyDescent="0.25">
      <c r="A137" s="550" t="s">
        <v>58</v>
      </c>
      <c r="B137" s="550"/>
      <c r="C137" s="550"/>
      <c r="D137" s="550"/>
      <c r="E137" s="550"/>
      <c r="F137" s="550"/>
      <c r="G137" s="550"/>
      <c r="H137" s="550"/>
      <c r="I137" s="550"/>
      <c r="J137" s="550"/>
      <c r="K137" s="550"/>
    </row>
    <row r="138" spans="1:11" ht="63" x14ac:dyDescent="0.25">
      <c r="A138" s="145">
        <v>26</v>
      </c>
      <c r="B138" s="246" t="s">
        <v>278</v>
      </c>
      <c r="C138" s="168" t="s">
        <v>14</v>
      </c>
      <c r="D138" s="145" t="s">
        <v>274</v>
      </c>
      <c r="E138" s="171">
        <v>24980</v>
      </c>
      <c r="F138" s="171">
        <v>24980</v>
      </c>
      <c r="G138" s="172">
        <f t="shared" si="7"/>
        <v>100</v>
      </c>
      <c r="H138" s="173">
        <v>100</v>
      </c>
      <c r="I138" s="145"/>
      <c r="J138" s="149" t="s">
        <v>433</v>
      </c>
      <c r="K138" s="145"/>
    </row>
    <row r="139" spans="1:11" s="155" customFormat="1" x14ac:dyDescent="0.25">
      <c r="A139" s="150"/>
      <c r="B139" s="151" t="s">
        <v>13</v>
      </c>
      <c r="C139" s="150"/>
      <c r="D139" s="150"/>
      <c r="E139" s="174">
        <v>24980</v>
      </c>
      <c r="F139" s="174">
        <v>24980</v>
      </c>
      <c r="G139" s="175">
        <f t="shared" si="7"/>
        <v>100</v>
      </c>
      <c r="H139" s="154"/>
      <c r="I139" s="150"/>
      <c r="J139" s="150"/>
      <c r="K139" s="150"/>
    </row>
    <row r="140" spans="1:11" x14ac:dyDescent="0.25">
      <c r="A140" s="145"/>
      <c r="B140" s="159" t="s">
        <v>54</v>
      </c>
      <c r="C140" s="145"/>
      <c r="D140" s="145"/>
      <c r="E140" s="176">
        <f>E138</f>
        <v>24980</v>
      </c>
      <c r="F140" s="176">
        <f>F138</f>
        <v>24980</v>
      </c>
      <c r="G140" s="177">
        <f t="shared" si="7"/>
        <v>100</v>
      </c>
      <c r="H140" s="148"/>
      <c r="I140" s="145"/>
      <c r="J140" s="145"/>
      <c r="K140" s="145"/>
    </row>
    <row r="141" spans="1:11" s="155" customFormat="1" x14ac:dyDescent="0.25">
      <c r="A141" s="150"/>
      <c r="B141" s="151" t="s">
        <v>13</v>
      </c>
      <c r="C141" s="150"/>
      <c r="D141" s="150"/>
      <c r="E141" s="174">
        <f>E139</f>
        <v>24980</v>
      </c>
      <c r="F141" s="174">
        <f>F139</f>
        <v>24980</v>
      </c>
      <c r="G141" s="178">
        <v>100</v>
      </c>
      <c r="H141" s="154"/>
      <c r="I141" s="150"/>
      <c r="J141" s="150"/>
      <c r="K141" s="150"/>
    </row>
    <row r="142" spans="1:11" s="179" customFormat="1" ht="141.75" x14ac:dyDescent="0.25">
      <c r="A142" s="145">
        <v>27</v>
      </c>
      <c r="B142" s="246" t="s">
        <v>451</v>
      </c>
      <c r="C142" s="129" t="s">
        <v>14</v>
      </c>
      <c r="D142" s="145" t="s">
        <v>44</v>
      </c>
      <c r="E142" s="171">
        <v>11960031</v>
      </c>
      <c r="F142" s="171">
        <v>12166791.15</v>
      </c>
      <c r="G142" s="162">
        <f>F142/E142*100</f>
        <v>101.72875931508874</v>
      </c>
      <c r="H142" s="173">
        <v>100</v>
      </c>
      <c r="I142" s="149" t="s">
        <v>452</v>
      </c>
      <c r="J142" s="246" t="s">
        <v>453</v>
      </c>
      <c r="K142" s="145"/>
    </row>
    <row r="143" spans="1:11" s="155" customFormat="1" ht="16.5" x14ac:dyDescent="0.25">
      <c r="A143" s="150"/>
      <c r="B143" s="151" t="s">
        <v>13</v>
      </c>
      <c r="C143" s="180"/>
      <c r="D143" s="150"/>
      <c r="E143" s="174">
        <v>11960031</v>
      </c>
      <c r="F143" s="174">
        <v>12166791.15</v>
      </c>
      <c r="G143" s="170">
        <f>F143/E143*100</f>
        <v>101.72875931508874</v>
      </c>
      <c r="H143" s="154"/>
      <c r="I143" s="150"/>
      <c r="J143" s="181"/>
      <c r="K143" s="181"/>
    </row>
    <row r="144" spans="1:11" ht="16.5" x14ac:dyDescent="0.25">
      <c r="A144" s="145"/>
      <c r="B144" s="165" t="s">
        <v>73</v>
      </c>
      <c r="C144" s="168"/>
      <c r="D144" s="145"/>
      <c r="E144" s="176">
        <f>E145+E146</f>
        <v>13768196</v>
      </c>
      <c r="F144" s="176">
        <f>F145+F146</f>
        <v>13797091.41</v>
      </c>
      <c r="G144" s="169">
        <f>F144/E144*100</f>
        <v>100.20987070492025</v>
      </c>
      <c r="H144" s="148"/>
      <c r="I144" s="145"/>
      <c r="J144" s="182"/>
      <c r="K144" s="182"/>
    </row>
    <row r="145" spans="1:11" s="155" customFormat="1" ht="16.5" x14ac:dyDescent="0.25">
      <c r="A145" s="150"/>
      <c r="B145" s="166" t="s">
        <v>13</v>
      </c>
      <c r="C145" s="180"/>
      <c r="D145" s="150"/>
      <c r="E145" s="174">
        <f>E86+E91+E101+E110+E128+E136+E141+E143</f>
        <v>13744196</v>
      </c>
      <c r="F145" s="174">
        <f>F86+F91+F101+F110+F128+F136+F141+F143</f>
        <v>13773091.41</v>
      </c>
      <c r="G145" s="170">
        <f>F145/E145*100</f>
        <v>100.2102371793883</v>
      </c>
      <c r="H145" s="154"/>
      <c r="I145" s="150"/>
      <c r="J145" s="151"/>
      <c r="K145" s="150"/>
    </row>
    <row r="146" spans="1:11" s="155" customFormat="1" ht="16.5" x14ac:dyDescent="0.25">
      <c r="A146" s="150"/>
      <c r="B146" s="166" t="s">
        <v>53</v>
      </c>
      <c r="C146" s="180"/>
      <c r="D146" s="150"/>
      <c r="E146" s="174">
        <f>E94</f>
        <v>24000</v>
      </c>
      <c r="F146" s="174">
        <f>F94+F129</f>
        <v>24000</v>
      </c>
      <c r="G146" s="183">
        <f>F146/E146*100</f>
        <v>100</v>
      </c>
      <c r="H146" s="154"/>
      <c r="I146" s="150"/>
      <c r="J146" s="151"/>
      <c r="K146" s="150"/>
    </row>
    <row r="147" spans="1:11" x14ac:dyDescent="0.25">
      <c r="A147" s="145"/>
      <c r="B147" s="151"/>
      <c r="C147" s="150"/>
      <c r="D147" s="150"/>
      <c r="E147" s="150"/>
      <c r="F147" s="150"/>
      <c r="G147" s="150"/>
      <c r="H147" s="184"/>
      <c r="I147" s="151"/>
      <c r="J147" s="151"/>
      <c r="K147" s="151"/>
    </row>
    <row r="148" spans="1:11" ht="16.5" x14ac:dyDescent="0.25">
      <c r="A148" s="558" t="s">
        <v>305</v>
      </c>
      <c r="B148" s="558"/>
      <c r="C148" s="558"/>
      <c r="D148" s="558"/>
      <c r="E148" s="558"/>
      <c r="F148" s="558"/>
      <c r="G148" s="558"/>
      <c r="H148" s="558"/>
      <c r="I148" s="558"/>
      <c r="J148" s="558"/>
      <c r="K148" s="558"/>
    </row>
    <row r="149" spans="1:11" ht="16.5" x14ac:dyDescent="0.25">
      <c r="A149" s="550" t="s">
        <v>284</v>
      </c>
      <c r="B149" s="550"/>
      <c r="C149" s="550"/>
      <c r="D149" s="550"/>
      <c r="E149" s="550"/>
      <c r="F149" s="550"/>
      <c r="G149" s="550"/>
      <c r="H149" s="550"/>
      <c r="I149" s="550"/>
      <c r="J149" s="550"/>
      <c r="K149" s="550"/>
    </row>
    <row r="150" spans="1:11" ht="94.5" x14ac:dyDescent="0.25">
      <c r="A150" s="145">
        <v>28</v>
      </c>
      <c r="B150" s="246" t="s">
        <v>454</v>
      </c>
      <c r="C150" s="129" t="s">
        <v>14</v>
      </c>
      <c r="D150" s="145" t="s">
        <v>285</v>
      </c>
      <c r="E150" s="171">
        <f>E153</f>
        <v>10000</v>
      </c>
      <c r="F150" s="171">
        <f>F153</f>
        <v>10000</v>
      </c>
      <c r="G150" s="162">
        <f>F150/E150*100</f>
        <v>100</v>
      </c>
      <c r="H150" s="173">
        <v>100</v>
      </c>
      <c r="I150" s="185"/>
      <c r="J150" s="149" t="s">
        <v>380</v>
      </c>
      <c r="K150" s="185"/>
    </row>
    <row r="151" spans="1:11" ht="16.5" x14ac:dyDescent="0.25">
      <c r="A151" s="145"/>
      <c r="B151" s="151" t="s">
        <v>13</v>
      </c>
      <c r="C151" s="186"/>
      <c r="D151" s="186"/>
      <c r="E151" s="174">
        <v>10000</v>
      </c>
      <c r="F151" s="174">
        <v>10000</v>
      </c>
      <c r="G151" s="170">
        <f>F151/E151*100</f>
        <v>100</v>
      </c>
      <c r="H151" s="186"/>
      <c r="I151" s="186"/>
      <c r="J151" s="246"/>
      <c r="K151" s="185"/>
    </row>
    <row r="152" spans="1:11" ht="16.5" x14ac:dyDescent="0.25">
      <c r="A152" s="145"/>
      <c r="B152" s="159" t="s">
        <v>54</v>
      </c>
      <c r="C152" s="186"/>
      <c r="D152" s="186"/>
      <c r="E152" s="176">
        <v>10000</v>
      </c>
      <c r="F152" s="176">
        <v>10000</v>
      </c>
      <c r="G152" s="169">
        <f>F152/E152*100</f>
        <v>100</v>
      </c>
      <c r="H152" s="186"/>
      <c r="I152" s="186"/>
      <c r="J152" s="246"/>
      <c r="K152" s="185"/>
    </row>
    <row r="153" spans="1:11" s="155" customFormat="1" ht="16.5" x14ac:dyDescent="0.25">
      <c r="A153" s="186"/>
      <c r="B153" s="151" t="s">
        <v>13</v>
      </c>
      <c r="C153" s="186"/>
      <c r="D153" s="186"/>
      <c r="E153" s="174">
        <v>10000</v>
      </c>
      <c r="F153" s="174">
        <v>10000</v>
      </c>
      <c r="G153" s="170">
        <f>F153/E153*100</f>
        <v>100</v>
      </c>
      <c r="H153" s="186"/>
      <c r="I153" s="186"/>
      <c r="J153" s="186"/>
      <c r="K153" s="186"/>
    </row>
    <row r="154" spans="1:11" ht="16.5" x14ac:dyDescent="0.25">
      <c r="A154" s="550" t="s">
        <v>12</v>
      </c>
      <c r="B154" s="550"/>
      <c r="C154" s="550"/>
      <c r="D154" s="550"/>
      <c r="E154" s="550"/>
      <c r="F154" s="550"/>
      <c r="G154" s="550"/>
      <c r="H154" s="550"/>
      <c r="I154" s="550"/>
      <c r="J154" s="550"/>
      <c r="K154" s="550"/>
    </row>
    <row r="155" spans="1:11" s="179" customFormat="1" ht="220.5" x14ac:dyDescent="0.25">
      <c r="A155" s="145">
        <v>29</v>
      </c>
      <c r="B155" s="246" t="s">
        <v>455</v>
      </c>
      <c r="C155" s="145" t="s">
        <v>14</v>
      </c>
      <c r="D155" s="145" t="s">
        <v>15</v>
      </c>
      <c r="E155" s="171">
        <f>E156</f>
        <v>8063</v>
      </c>
      <c r="F155" s="171">
        <f>F156</f>
        <v>8000</v>
      </c>
      <c r="G155" s="162">
        <f t="shared" ref="G155:G160" si="8">F155/E155*100</f>
        <v>99.218653106784075</v>
      </c>
      <c r="H155" s="173">
        <v>100</v>
      </c>
      <c r="I155" s="145"/>
      <c r="J155" s="149" t="s">
        <v>433</v>
      </c>
      <c r="K155" s="145"/>
    </row>
    <row r="156" spans="1:11" s="155" customFormat="1" x14ac:dyDescent="0.25">
      <c r="A156" s="150"/>
      <c r="B156" s="151" t="s">
        <v>13</v>
      </c>
      <c r="C156" s="150"/>
      <c r="D156" s="150"/>
      <c r="E156" s="152">
        <v>8063</v>
      </c>
      <c r="F156" s="174">
        <v>8000</v>
      </c>
      <c r="G156" s="170">
        <f t="shared" si="8"/>
        <v>99.218653106784075</v>
      </c>
      <c r="H156" s="183"/>
      <c r="I156" s="150"/>
      <c r="J156" s="150"/>
      <c r="K156" s="150"/>
    </row>
    <row r="157" spans="1:11" s="179" customFormat="1" ht="110.25" x14ac:dyDescent="0.25">
      <c r="A157" s="145">
        <v>30</v>
      </c>
      <c r="B157" s="246" t="s">
        <v>37</v>
      </c>
      <c r="C157" s="145" t="s">
        <v>14</v>
      </c>
      <c r="D157" s="145" t="s">
        <v>16</v>
      </c>
      <c r="E157" s="171">
        <f>E158</f>
        <v>8300</v>
      </c>
      <c r="F157" s="171">
        <f>F158</f>
        <v>8300</v>
      </c>
      <c r="G157" s="162">
        <f t="shared" si="8"/>
        <v>100</v>
      </c>
      <c r="H157" s="173">
        <v>100</v>
      </c>
      <c r="I157" s="145"/>
      <c r="J157" s="149" t="s">
        <v>433</v>
      </c>
      <c r="K157" s="145"/>
    </row>
    <row r="158" spans="1:11" s="155" customFormat="1" x14ac:dyDescent="0.25">
      <c r="A158" s="150"/>
      <c r="B158" s="151" t="s">
        <v>13</v>
      </c>
      <c r="C158" s="150"/>
      <c r="D158" s="150"/>
      <c r="E158" s="152">
        <v>8300</v>
      </c>
      <c r="F158" s="152">
        <v>8300</v>
      </c>
      <c r="G158" s="170">
        <f t="shared" si="8"/>
        <v>100</v>
      </c>
      <c r="H158" s="183"/>
      <c r="I158" s="150"/>
      <c r="J158" s="150"/>
      <c r="K158" s="150"/>
    </row>
    <row r="159" spans="1:11" x14ac:dyDescent="0.25">
      <c r="A159" s="145"/>
      <c r="B159" s="159" t="s">
        <v>54</v>
      </c>
      <c r="C159" s="145"/>
      <c r="D159" s="145"/>
      <c r="E159" s="160">
        <f>E156+E158</f>
        <v>16363</v>
      </c>
      <c r="F159" s="160">
        <f>F156+F158</f>
        <v>16300</v>
      </c>
      <c r="G159" s="169">
        <f t="shared" si="8"/>
        <v>99.614985027195502</v>
      </c>
      <c r="H159" s="187"/>
      <c r="I159" s="145"/>
      <c r="J159" s="145"/>
      <c r="K159" s="145"/>
    </row>
    <row r="160" spans="1:11" s="155" customFormat="1" x14ac:dyDescent="0.25">
      <c r="A160" s="150"/>
      <c r="B160" s="151" t="s">
        <v>13</v>
      </c>
      <c r="C160" s="150"/>
      <c r="D160" s="150"/>
      <c r="E160" s="152">
        <f>E158+E156</f>
        <v>16363</v>
      </c>
      <c r="F160" s="152">
        <f>F158+F156</f>
        <v>16300</v>
      </c>
      <c r="G160" s="170">
        <f t="shared" si="8"/>
        <v>99.614985027195502</v>
      </c>
      <c r="H160" s="154"/>
      <c r="I160" s="150"/>
      <c r="J160" s="150"/>
      <c r="K160" s="150"/>
    </row>
    <row r="161" spans="1:11" ht="16.5" x14ac:dyDescent="0.25">
      <c r="A161" s="550" t="s">
        <v>20</v>
      </c>
      <c r="B161" s="550"/>
      <c r="C161" s="550"/>
      <c r="D161" s="550"/>
      <c r="E161" s="550"/>
      <c r="F161" s="550"/>
      <c r="G161" s="550"/>
      <c r="H161" s="550"/>
      <c r="I161" s="550"/>
      <c r="J161" s="550"/>
      <c r="K161" s="550"/>
    </row>
    <row r="162" spans="1:11" s="179" customFormat="1" ht="94.5" x14ac:dyDescent="0.25">
      <c r="A162" s="145">
        <v>31</v>
      </c>
      <c r="B162" s="246" t="s">
        <v>286</v>
      </c>
      <c r="C162" s="145" t="s">
        <v>287</v>
      </c>
      <c r="D162" s="145" t="s">
        <v>280</v>
      </c>
      <c r="E162" s="171">
        <f>E163</f>
        <v>15200</v>
      </c>
      <c r="F162" s="171">
        <f>F163</f>
        <v>15147.46</v>
      </c>
      <c r="G162" s="162">
        <f>F162/E162*100</f>
        <v>99.654342105263154</v>
      </c>
      <c r="H162" s="173">
        <v>100</v>
      </c>
      <c r="I162" s="145"/>
      <c r="J162" s="149" t="s">
        <v>433</v>
      </c>
      <c r="K162" s="145"/>
    </row>
    <row r="163" spans="1:11" s="155" customFormat="1" x14ac:dyDescent="0.25">
      <c r="A163" s="150"/>
      <c r="B163" s="151" t="s">
        <v>27</v>
      </c>
      <c r="C163" s="150"/>
      <c r="D163" s="150"/>
      <c r="E163" s="152">
        <f>E164+E165+E166</f>
        <v>15200</v>
      </c>
      <c r="F163" s="152">
        <f>F164+F165+F166</f>
        <v>15147.46</v>
      </c>
      <c r="G163" s="170">
        <f>F163/E163*100</f>
        <v>99.654342105263154</v>
      </c>
      <c r="H163" s="183"/>
      <c r="I163" s="150"/>
      <c r="J163" s="150"/>
      <c r="K163" s="150"/>
    </row>
    <row r="164" spans="1:11" x14ac:dyDescent="0.25">
      <c r="A164" s="145"/>
      <c r="B164" s="246" t="s">
        <v>29</v>
      </c>
      <c r="C164" s="145"/>
      <c r="D164" s="145"/>
      <c r="E164" s="146"/>
      <c r="F164" s="146"/>
      <c r="G164" s="162"/>
      <c r="H164" s="173"/>
      <c r="I164" s="149"/>
      <c r="J164" s="145"/>
      <c r="K164" s="145"/>
    </row>
    <row r="165" spans="1:11" x14ac:dyDescent="0.25">
      <c r="A165" s="145"/>
      <c r="B165" s="246" t="s">
        <v>31</v>
      </c>
      <c r="C165" s="145"/>
      <c r="D165" s="145"/>
      <c r="E165" s="146"/>
      <c r="F165" s="146"/>
      <c r="G165" s="162"/>
      <c r="H165" s="173"/>
      <c r="I165" s="145"/>
      <c r="J165" s="145"/>
      <c r="K165" s="145"/>
    </row>
    <row r="166" spans="1:11" x14ac:dyDescent="0.25">
      <c r="A166" s="145"/>
      <c r="B166" s="246" t="s">
        <v>32</v>
      </c>
      <c r="C166" s="145"/>
      <c r="D166" s="145"/>
      <c r="E166" s="146">
        <v>15200</v>
      </c>
      <c r="F166" s="146">
        <v>15147.46</v>
      </c>
      <c r="G166" s="162">
        <f t="shared" ref="G166:G167" si="9">F166/E166*100</f>
        <v>99.654342105263154</v>
      </c>
      <c r="H166" s="173"/>
      <c r="I166" s="145"/>
      <c r="J166" s="145"/>
      <c r="K166" s="145"/>
    </row>
    <row r="167" spans="1:11" ht="63" x14ac:dyDescent="0.25">
      <c r="A167" s="145">
        <v>32</v>
      </c>
      <c r="B167" s="246" t="s">
        <v>456</v>
      </c>
      <c r="C167" s="145" t="s">
        <v>21</v>
      </c>
      <c r="D167" s="145" t="s">
        <v>457</v>
      </c>
      <c r="E167" s="146">
        <v>250000</v>
      </c>
      <c r="F167" s="146">
        <v>249992.08</v>
      </c>
      <c r="G167" s="162">
        <f t="shared" si="9"/>
        <v>99.996831999999998</v>
      </c>
      <c r="H167" s="173">
        <v>100</v>
      </c>
      <c r="I167" s="145"/>
      <c r="J167" s="149" t="s">
        <v>433</v>
      </c>
      <c r="K167" s="145"/>
    </row>
    <row r="168" spans="1:11" x14ac:dyDescent="0.25">
      <c r="A168" s="145"/>
      <c r="B168" s="151" t="s">
        <v>22</v>
      </c>
      <c r="C168" s="145"/>
      <c r="D168" s="145"/>
      <c r="E168" s="152">
        <v>250000</v>
      </c>
      <c r="F168" s="152">
        <v>249992.08</v>
      </c>
      <c r="G168" s="162"/>
      <c r="H168" s="173"/>
      <c r="I168" s="145"/>
      <c r="J168" s="145"/>
      <c r="K168" s="145"/>
    </row>
    <row r="169" spans="1:11" x14ac:dyDescent="0.25">
      <c r="A169" s="145"/>
      <c r="B169" s="159" t="s">
        <v>54</v>
      </c>
      <c r="C169" s="145"/>
      <c r="D169" s="145"/>
      <c r="E169" s="147">
        <f>E170</f>
        <v>265200</v>
      </c>
      <c r="F169" s="147">
        <f>F170</f>
        <v>265139.53999999998</v>
      </c>
      <c r="G169" s="147"/>
      <c r="H169" s="148"/>
      <c r="I169" s="145"/>
      <c r="J169" s="145"/>
      <c r="K169" s="145"/>
    </row>
    <row r="170" spans="1:11" s="155" customFormat="1" x14ac:dyDescent="0.25">
      <c r="A170" s="150"/>
      <c r="B170" s="151" t="s">
        <v>22</v>
      </c>
      <c r="C170" s="150"/>
      <c r="D170" s="150"/>
      <c r="E170" s="153">
        <f>E163+E168</f>
        <v>265200</v>
      </c>
      <c r="F170" s="153">
        <f>F163+F168</f>
        <v>265139.53999999998</v>
      </c>
      <c r="G170" s="170">
        <f>F170/E170*100</f>
        <v>99.977202111613877</v>
      </c>
      <c r="H170" s="154"/>
      <c r="I170" s="150"/>
      <c r="J170" s="150"/>
      <c r="K170" s="150"/>
    </row>
    <row r="171" spans="1:11" ht="16.5" x14ac:dyDescent="0.25">
      <c r="A171" s="550" t="s">
        <v>23</v>
      </c>
      <c r="B171" s="550"/>
      <c r="C171" s="550"/>
      <c r="D171" s="550"/>
      <c r="E171" s="550"/>
      <c r="F171" s="550"/>
      <c r="G171" s="550"/>
      <c r="H171" s="550"/>
      <c r="I171" s="550"/>
      <c r="J171" s="550"/>
      <c r="K171" s="550"/>
    </row>
    <row r="172" spans="1:11" s="179" customFormat="1" ht="409.5" x14ac:dyDescent="0.25">
      <c r="A172" s="145">
        <v>33</v>
      </c>
      <c r="B172" s="246" t="s">
        <v>288</v>
      </c>
      <c r="C172" s="145" t="s">
        <v>17</v>
      </c>
      <c r="D172" s="145" t="s">
        <v>15</v>
      </c>
      <c r="E172" s="145" t="s">
        <v>18</v>
      </c>
      <c r="F172" s="147">
        <v>0</v>
      </c>
      <c r="G172" s="145">
        <v>100</v>
      </c>
      <c r="H172" s="148">
        <v>100</v>
      </c>
      <c r="I172" s="149" t="s">
        <v>458</v>
      </c>
      <c r="J172" s="149" t="s">
        <v>433</v>
      </c>
      <c r="K172" s="246"/>
    </row>
    <row r="173" spans="1:11" x14ac:dyDescent="0.25">
      <c r="A173" s="145"/>
      <c r="B173" s="151" t="s">
        <v>19</v>
      </c>
      <c r="C173" s="145"/>
      <c r="D173" s="145"/>
      <c r="E173" s="145"/>
      <c r="F173" s="145"/>
      <c r="G173" s="145"/>
      <c r="H173" s="148"/>
      <c r="I173" s="145"/>
      <c r="J173" s="145"/>
      <c r="K173" s="145"/>
    </row>
    <row r="174" spans="1:11" x14ac:dyDescent="0.25">
      <c r="A174" s="145"/>
      <c r="B174" s="159" t="s">
        <v>54</v>
      </c>
      <c r="C174" s="145"/>
      <c r="D174" s="145"/>
      <c r="E174" s="145"/>
      <c r="F174" s="145"/>
      <c r="G174" s="145"/>
      <c r="H174" s="148"/>
      <c r="I174" s="145"/>
      <c r="J174" s="145"/>
      <c r="K174" s="145"/>
    </row>
    <row r="175" spans="1:11" x14ac:dyDescent="0.25">
      <c r="A175" s="145"/>
      <c r="B175" s="151" t="s">
        <v>19</v>
      </c>
      <c r="C175" s="145"/>
      <c r="D175" s="145"/>
      <c r="E175" s="145"/>
      <c r="F175" s="145"/>
      <c r="G175" s="145"/>
      <c r="H175" s="148"/>
      <c r="I175" s="145"/>
      <c r="J175" s="145"/>
      <c r="K175" s="145"/>
    </row>
    <row r="176" spans="1:11" ht="16.5" x14ac:dyDescent="0.25">
      <c r="A176" s="550" t="s">
        <v>24</v>
      </c>
      <c r="B176" s="550"/>
      <c r="C176" s="550"/>
      <c r="D176" s="550"/>
      <c r="E176" s="550"/>
      <c r="F176" s="550"/>
      <c r="G176" s="550"/>
      <c r="H176" s="550"/>
      <c r="I176" s="550"/>
      <c r="J176" s="550"/>
      <c r="K176" s="550"/>
    </row>
    <row r="177" spans="1:11" s="179" customFormat="1" ht="78.75" x14ac:dyDescent="0.25">
      <c r="A177" s="139">
        <v>34</v>
      </c>
      <c r="B177" s="246" t="s">
        <v>459</v>
      </c>
      <c r="C177" s="145" t="s">
        <v>14</v>
      </c>
      <c r="D177" s="145" t="s">
        <v>16</v>
      </c>
      <c r="E177" s="171">
        <f>E178</f>
        <v>28871</v>
      </c>
      <c r="F177" s="171">
        <f>F178</f>
        <v>28871</v>
      </c>
      <c r="G177" s="162">
        <f>F177/E177*100</f>
        <v>100</v>
      </c>
      <c r="H177" s="148">
        <v>100</v>
      </c>
      <c r="I177" s="188"/>
      <c r="J177" s="149" t="s">
        <v>433</v>
      </c>
      <c r="K177" s="188"/>
    </row>
    <row r="178" spans="1:11" s="155" customFormat="1" ht="19.5" x14ac:dyDescent="0.25">
      <c r="A178" s="189"/>
      <c r="B178" s="151" t="s">
        <v>13</v>
      </c>
      <c r="C178" s="190"/>
      <c r="D178" s="190"/>
      <c r="E178" s="152">
        <v>28871</v>
      </c>
      <c r="F178" s="152">
        <v>28871</v>
      </c>
      <c r="G178" s="170">
        <f>F178/E178*100</f>
        <v>100</v>
      </c>
      <c r="H178" s="154"/>
      <c r="I178" s="191"/>
      <c r="J178" s="191"/>
      <c r="K178" s="191"/>
    </row>
    <row r="179" spans="1:11" ht="19.5" x14ac:dyDescent="0.25">
      <c r="A179" s="139"/>
      <c r="B179" s="159" t="s">
        <v>54</v>
      </c>
      <c r="C179" s="141"/>
      <c r="D179" s="141"/>
      <c r="E179" s="160">
        <f>E180</f>
        <v>28871</v>
      </c>
      <c r="F179" s="160">
        <f>F180</f>
        <v>28871</v>
      </c>
      <c r="G179" s="169">
        <f>F179/E179*100</f>
        <v>100</v>
      </c>
      <c r="H179" s="142"/>
      <c r="I179" s="143"/>
      <c r="J179" s="143"/>
      <c r="K179" s="143"/>
    </row>
    <row r="180" spans="1:11" s="155" customFormat="1" ht="19.5" x14ac:dyDescent="0.25">
      <c r="A180" s="189"/>
      <c r="B180" s="151" t="s">
        <v>13</v>
      </c>
      <c r="C180" s="190"/>
      <c r="D180" s="190"/>
      <c r="E180" s="152">
        <v>28871</v>
      </c>
      <c r="F180" s="152">
        <v>28871</v>
      </c>
      <c r="G180" s="170">
        <f>F180/E180*100</f>
        <v>100</v>
      </c>
      <c r="H180" s="192"/>
      <c r="I180" s="191"/>
      <c r="J180" s="191"/>
      <c r="K180" s="191"/>
    </row>
    <row r="181" spans="1:11" ht="16.5" x14ac:dyDescent="0.25">
      <c r="A181" s="550" t="s">
        <v>25</v>
      </c>
      <c r="B181" s="550"/>
      <c r="C181" s="550"/>
      <c r="D181" s="550"/>
      <c r="E181" s="550"/>
      <c r="F181" s="550"/>
      <c r="G181" s="550"/>
      <c r="H181" s="550"/>
      <c r="I181" s="550"/>
      <c r="J181" s="550"/>
      <c r="K181" s="550"/>
    </row>
    <row r="182" spans="1:11" ht="94.5" x14ac:dyDescent="0.25">
      <c r="A182" s="139">
        <v>35</v>
      </c>
      <c r="B182" s="246" t="s">
        <v>39</v>
      </c>
      <c r="C182" s="145" t="s">
        <v>460</v>
      </c>
      <c r="D182" s="145" t="s">
        <v>445</v>
      </c>
      <c r="E182" s="145" t="s">
        <v>18</v>
      </c>
      <c r="F182" s="147">
        <v>35257800</v>
      </c>
      <c r="G182" s="147">
        <v>100</v>
      </c>
      <c r="H182" s="193">
        <v>100</v>
      </c>
      <c r="I182" s="149"/>
      <c r="J182" s="149" t="s">
        <v>433</v>
      </c>
      <c r="K182" s="149"/>
    </row>
    <row r="183" spans="1:11" ht="19.5" x14ac:dyDescent="0.25">
      <c r="A183" s="139"/>
      <c r="B183" s="159" t="s">
        <v>54</v>
      </c>
      <c r="C183" s="141"/>
      <c r="D183" s="141"/>
      <c r="E183" s="147">
        <f>E184</f>
        <v>0</v>
      </c>
      <c r="F183" s="153">
        <v>35257800</v>
      </c>
      <c r="G183" s="162"/>
      <c r="H183" s="142"/>
      <c r="I183" s="143"/>
      <c r="J183" s="143"/>
      <c r="K183" s="143"/>
    </row>
    <row r="184" spans="1:11" s="155" customFormat="1" ht="19.5" x14ac:dyDescent="0.25">
      <c r="A184" s="189"/>
      <c r="B184" s="151" t="s">
        <v>19</v>
      </c>
      <c r="C184" s="190"/>
      <c r="D184" s="190"/>
      <c r="E184" s="153"/>
      <c r="F184" s="153"/>
      <c r="G184" s="170"/>
      <c r="H184" s="192"/>
      <c r="I184" s="191"/>
      <c r="J184" s="191"/>
      <c r="K184" s="191"/>
    </row>
    <row r="185" spans="1:11" ht="19.5" x14ac:dyDescent="0.25">
      <c r="A185" s="139"/>
      <c r="B185" s="165" t="s">
        <v>73</v>
      </c>
      <c r="C185" s="141"/>
      <c r="D185" s="141"/>
      <c r="E185" s="160">
        <f>E186+E187</f>
        <v>320434</v>
      </c>
      <c r="F185" s="160">
        <f>F186+F187+F188</f>
        <v>35578110.539999999</v>
      </c>
      <c r="G185" s="161">
        <f>F185/E185*100</f>
        <v>11103.100963068837</v>
      </c>
      <c r="H185" s="142"/>
      <c r="I185" s="143"/>
      <c r="J185" s="143"/>
      <c r="K185" s="143"/>
    </row>
    <row r="186" spans="1:11" ht="19.5" x14ac:dyDescent="0.25">
      <c r="A186" s="139"/>
      <c r="B186" s="166" t="s">
        <v>13</v>
      </c>
      <c r="C186" s="141"/>
      <c r="D186" s="141"/>
      <c r="E186" s="152">
        <f>E153+E160+E178</f>
        <v>55234</v>
      </c>
      <c r="F186" s="152">
        <f>F153+F160+F178</f>
        <v>55171</v>
      </c>
      <c r="G186" s="153">
        <f t="shared" ref="G186:G187" si="10">F186/E186*100</f>
        <v>99.885939819676281</v>
      </c>
      <c r="H186" s="142"/>
      <c r="I186" s="143"/>
      <c r="J186" s="194">
        <f>F187+F186</f>
        <v>320310.53999999998</v>
      </c>
      <c r="K186" s="143"/>
    </row>
    <row r="187" spans="1:11" ht="19.5" x14ac:dyDescent="0.25">
      <c r="A187" s="139"/>
      <c r="B187" s="166" t="s">
        <v>22</v>
      </c>
      <c r="C187" s="141"/>
      <c r="D187" s="141"/>
      <c r="E187" s="152">
        <f>E170</f>
        <v>265200</v>
      </c>
      <c r="F187" s="152">
        <f>F170</f>
        <v>265139.53999999998</v>
      </c>
      <c r="G187" s="153">
        <f t="shared" si="10"/>
        <v>99.977202111613877</v>
      </c>
      <c r="H187" s="142"/>
      <c r="I187" s="143"/>
      <c r="J187" s="143"/>
      <c r="K187" s="143"/>
    </row>
    <row r="188" spans="1:11" ht="47.25" x14ac:dyDescent="0.25">
      <c r="A188" s="139"/>
      <c r="B188" s="166" t="s">
        <v>53</v>
      </c>
      <c r="C188" s="141"/>
      <c r="D188" s="141"/>
      <c r="E188" s="152" t="s">
        <v>18</v>
      </c>
      <c r="F188" s="152">
        <f>F183+F175</f>
        <v>35257800</v>
      </c>
      <c r="G188" s="153"/>
      <c r="H188" s="142"/>
      <c r="I188" s="143"/>
      <c r="J188" s="143"/>
      <c r="K188" s="143"/>
    </row>
    <row r="189" spans="1:11" ht="16.5" x14ac:dyDescent="0.25">
      <c r="A189" s="139"/>
      <c r="B189" s="558" t="s">
        <v>306</v>
      </c>
      <c r="C189" s="558"/>
      <c r="D189" s="558"/>
      <c r="E189" s="558"/>
      <c r="F189" s="558"/>
      <c r="G189" s="558"/>
      <c r="H189" s="558"/>
      <c r="I189" s="558"/>
      <c r="J189" s="558"/>
      <c r="K189" s="558"/>
    </row>
    <row r="190" spans="1:11" ht="16.5" x14ac:dyDescent="0.25">
      <c r="A190" s="550" t="s">
        <v>145</v>
      </c>
      <c r="B190" s="550"/>
      <c r="C190" s="550"/>
      <c r="D190" s="550"/>
      <c r="E190" s="550"/>
      <c r="F190" s="550"/>
      <c r="G190" s="550"/>
      <c r="H190" s="550"/>
      <c r="I190" s="550"/>
      <c r="J190" s="550"/>
      <c r="K190" s="550"/>
    </row>
    <row r="191" spans="1:11" ht="110.25" x14ac:dyDescent="0.25">
      <c r="A191" s="139">
        <v>36</v>
      </c>
      <c r="B191" s="246" t="s">
        <v>461</v>
      </c>
      <c r="C191" s="145" t="s">
        <v>14</v>
      </c>
      <c r="D191" s="145" t="s">
        <v>16</v>
      </c>
      <c r="E191" s="195">
        <v>35971</v>
      </c>
      <c r="F191" s="195">
        <v>28860</v>
      </c>
      <c r="G191" s="196">
        <f>F191/E191*100</f>
        <v>80.231297434044095</v>
      </c>
      <c r="H191" s="197">
        <v>100</v>
      </c>
      <c r="I191" s="143"/>
      <c r="J191" s="149" t="s">
        <v>433</v>
      </c>
      <c r="K191" s="143"/>
    </row>
    <row r="192" spans="1:11" s="155" customFormat="1" ht="19.5" x14ac:dyDescent="0.25">
      <c r="A192" s="189"/>
      <c r="B192" s="151" t="s">
        <v>13</v>
      </c>
      <c r="C192" s="150"/>
      <c r="D192" s="150"/>
      <c r="E192" s="198">
        <v>35791</v>
      </c>
      <c r="F192" s="198">
        <v>28860</v>
      </c>
      <c r="G192" s="199">
        <f>F192/E192*100</f>
        <v>80.634796457209916</v>
      </c>
      <c r="H192" s="200"/>
      <c r="I192" s="191"/>
      <c r="J192" s="191"/>
      <c r="K192" s="191"/>
    </row>
    <row r="193" spans="1:11" ht="63" x14ac:dyDescent="0.25">
      <c r="A193" s="139">
        <v>37</v>
      </c>
      <c r="B193" s="246" t="s">
        <v>146</v>
      </c>
      <c r="C193" s="145" t="s">
        <v>14</v>
      </c>
      <c r="D193" s="145" t="s">
        <v>16</v>
      </c>
      <c r="E193" s="195">
        <v>5000</v>
      </c>
      <c r="F193" s="195">
        <v>5000</v>
      </c>
      <c r="G193" s="196">
        <f>F193/E193*100</f>
        <v>100</v>
      </c>
      <c r="H193" s="197">
        <v>100</v>
      </c>
      <c r="I193" s="145"/>
      <c r="J193" s="149" t="s">
        <v>433</v>
      </c>
      <c r="K193" s="143"/>
    </row>
    <row r="194" spans="1:11" s="155" customFormat="1" ht="19.5" x14ac:dyDescent="0.25">
      <c r="A194" s="189"/>
      <c r="B194" s="151" t="s">
        <v>13</v>
      </c>
      <c r="C194" s="150"/>
      <c r="D194" s="150"/>
      <c r="E194" s="198">
        <v>5000</v>
      </c>
      <c r="F194" s="198">
        <v>5000</v>
      </c>
      <c r="G194" s="199">
        <f t="shared" ref="G194:G221" si="11">F194/E194*100</f>
        <v>100</v>
      </c>
      <c r="H194" s="200"/>
      <c r="I194" s="201"/>
      <c r="J194" s="201"/>
      <c r="K194" s="191"/>
    </row>
    <row r="195" spans="1:11" ht="126" x14ac:dyDescent="0.25">
      <c r="A195" s="139">
        <v>38</v>
      </c>
      <c r="B195" s="246" t="s">
        <v>462</v>
      </c>
      <c r="C195" s="145" t="s">
        <v>14</v>
      </c>
      <c r="D195" s="145" t="s">
        <v>463</v>
      </c>
      <c r="E195" s="195">
        <v>3000</v>
      </c>
      <c r="F195" s="195">
        <v>3000</v>
      </c>
      <c r="G195" s="196">
        <f t="shared" si="11"/>
        <v>100</v>
      </c>
      <c r="H195" s="197">
        <v>100</v>
      </c>
      <c r="I195" s="143"/>
      <c r="J195" s="149" t="s">
        <v>435</v>
      </c>
      <c r="K195" s="143"/>
    </row>
    <row r="196" spans="1:11" s="155" customFormat="1" ht="19.5" x14ac:dyDescent="0.25">
      <c r="A196" s="189"/>
      <c r="B196" s="151" t="s">
        <v>13</v>
      </c>
      <c r="C196" s="150"/>
      <c r="D196" s="150"/>
      <c r="E196" s="198">
        <v>3000</v>
      </c>
      <c r="F196" s="198">
        <v>3000</v>
      </c>
      <c r="G196" s="199">
        <f t="shared" si="11"/>
        <v>100</v>
      </c>
      <c r="H196" s="200"/>
      <c r="I196" s="191"/>
      <c r="J196" s="191"/>
      <c r="K196" s="191"/>
    </row>
    <row r="197" spans="1:11" ht="126" x14ac:dyDescent="0.25">
      <c r="A197" s="139">
        <v>39</v>
      </c>
      <c r="B197" s="246" t="s">
        <v>148</v>
      </c>
      <c r="C197" s="145" t="s">
        <v>149</v>
      </c>
      <c r="D197" s="145" t="s">
        <v>16</v>
      </c>
      <c r="E197" s="195">
        <v>33000</v>
      </c>
      <c r="F197" s="195">
        <v>32973.24</v>
      </c>
      <c r="G197" s="196">
        <f t="shared" si="11"/>
        <v>99.918909090909082</v>
      </c>
      <c r="H197" s="197">
        <v>100</v>
      </c>
      <c r="I197" s="143"/>
      <c r="J197" s="149" t="s">
        <v>433</v>
      </c>
      <c r="K197" s="143"/>
    </row>
    <row r="198" spans="1:11" s="155" customFormat="1" ht="19.5" x14ac:dyDescent="0.25">
      <c r="A198" s="189"/>
      <c r="B198" s="151" t="s">
        <v>13</v>
      </c>
      <c r="C198" s="150"/>
      <c r="D198" s="150"/>
      <c r="E198" s="198">
        <v>33000</v>
      </c>
      <c r="F198" s="198">
        <v>32973.24</v>
      </c>
      <c r="G198" s="199">
        <f t="shared" si="11"/>
        <v>99.918909090909082</v>
      </c>
      <c r="H198" s="200"/>
      <c r="I198" s="191"/>
      <c r="J198" s="191"/>
      <c r="K198" s="191"/>
    </row>
    <row r="199" spans="1:11" ht="126" x14ac:dyDescent="0.25">
      <c r="A199" s="139">
        <v>40</v>
      </c>
      <c r="B199" s="246" t="s">
        <v>150</v>
      </c>
      <c r="C199" s="145" t="s">
        <v>149</v>
      </c>
      <c r="D199" s="145" t="s">
        <v>175</v>
      </c>
      <c r="E199" s="195">
        <v>50000</v>
      </c>
      <c r="F199" s="195">
        <v>50000</v>
      </c>
      <c r="G199" s="196">
        <f t="shared" si="11"/>
        <v>100</v>
      </c>
      <c r="H199" s="197">
        <v>100</v>
      </c>
      <c r="I199" s="143"/>
      <c r="J199" s="149" t="s">
        <v>380</v>
      </c>
      <c r="K199" s="143"/>
    </row>
    <row r="200" spans="1:11" s="155" customFormat="1" ht="19.5" x14ac:dyDescent="0.25">
      <c r="A200" s="189"/>
      <c r="B200" s="151" t="s">
        <v>13</v>
      </c>
      <c r="C200" s="150"/>
      <c r="D200" s="150"/>
      <c r="E200" s="198">
        <v>50000</v>
      </c>
      <c r="F200" s="198">
        <v>50000</v>
      </c>
      <c r="G200" s="199">
        <f t="shared" si="11"/>
        <v>100</v>
      </c>
      <c r="H200" s="200"/>
      <c r="I200" s="191"/>
      <c r="J200" s="191"/>
      <c r="K200" s="191"/>
    </row>
    <row r="201" spans="1:11" ht="157.5" x14ac:dyDescent="0.25">
      <c r="A201" s="139">
        <v>41</v>
      </c>
      <c r="B201" s="246" t="s">
        <v>151</v>
      </c>
      <c r="C201" s="145" t="s">
        <v>149</v>
      </c>
      <c r="D201" s="145" t="s">
        <v>16</v>
      </c>
      <c r="E201" s="195">
        <v>25000</v>
      </c>
      <c r="F201" s="195">
        <v>24947.599999999999</v>
      </c>
      <c r="G201" s="196">
        <f t="shared" si="11"/>
        <v>99.790399999999991</v>
      </c>
      <c r="H201" s="197">
        <v>100</v>
      </c>
      <c r="I201" s="143"/>
      <c r="J201" s="149" t="s">
        <v>433</v>
      </c>
      <c r="K201" s="143"/>
    </row>
    <row r="202" spans="1:11" s="155" customFormat="1" ht="19.5" x14ac:dyDescent="0.25">
      <c r="A202" s="189"/>
      <c r="B202" s="151" t="s">
        <v>13</v>
      </c>
      <c r="C202" s="150"/>
      <c r="D202" s="150"/>
      <c r="E202" s="198">
        <v>25000</v>
      </c>
      <c r="F202" s="198">
        <v>24947.599999999999</v>
      </c>
      <c r="G202" s="199">
        <f t="shared" si="11"/>
        <v>99.790399999999991</v>
      </c>
      <c r="H202" s="200"/>
      <c r="I202" s="191"/>
      <c r="J202" s="158"/>
      <c r="K202" s="191"/>
    </row>
    <row r="203" spans="1:11" ht="126" x14ac:dyDescent="0.25">
      <c r="A203" s="139">
        <v>42</v>
      </c>
      <c r="B203" s="246" t="s">
        <v>152</v>
      </c>
      <c r="C203" s="145" t="s">
        <v>149</v>
      </c>
      <c r="D203" s="145" t="s">
        <v>16</v>
      </c>
      <c r="E203" s="195">
        <v>22148</v>
      </c>
      <c r="F203" s="195">
        <v>22145.3</v>
      </c>
      <c r="G203" s="196">
        <f t="shared" si="11"/>
        <v>99.987809283005234</v>
      </c>
      <c r="H203" s="197">
        <v>100</v>
      </c>
      <c r="I203" s="143"/>
      <c r="J203" s="149" t="s">
        <v>433</v>
      </c>
      <c r="K203" s="143"/>
    </row>
    <row r="204" spans="1:11" s="155" customFormat="1" ht="19.5" x14ac:dyDescent="0.25">
      <c r="A204" s="189"/>
      <c r="B204" s="151" t="s">
        <v>13</v>
      </c>
      <c r="C204" s="150"/>
      <c r="D204" s="150"/>
      <c r="E204" s="198">
        <v>22148</v>
      </c>
      <c r="F204" s="198">
        <v>22145.3</v>
      </c>
      <c r="G204" s="199">
        <f t="shared" si="11"/>
        <v>99.987809283005234</v>
      </c>
      <c r="H204" s="200"/>
      <c r="I204" s="191"/>
      <c r="J204" s="158"/>
      <c r="K204" s="191"/>
    </row>
    <row r="205" spans="1:11" ht="94.5" x14ac:dyDescent="0.25">
      <c r="A205" s="139">
        <v>43</v>
      </c>
      <c r="B205" s="246" t="s">
        <v>153</v>
      </c>
      <c r="C205" s="145" t="s">
        <v>149</v>
      </c>
      <c r="D205" s="145" t="s">
        <v>177</v>
      </c>
      <c r="E205" s="195">
        <v>3000</v>
      </c>
      <c r="F205" s="195">
        <v>2998.79</v>
      </c>
      <c r="G205" s="196">
        <f t="shared" si="11"/>
        <v>99.959666666666664</v>
      </c>
      <c r="H205" s="197">
        <v>100</v>
      </c>
      <c r="I205" s="143"/>
      <c r="J205" s="149" t="s">
        <v>435</v>
      </c>
      <c r="K205" s="143"/>
    </row>
    <row r="206" spans="1:11" s="155" customFormat="1" ht="19.5" x14ac:dyDescent="0.25">
      <c r="A206" s="189"/>
      <c r="B206" s="151" t="s">
        <v>13</v>
      </c>
      <c r="C206" s="150"/>
      <c r="D206" s="150"/>
      <c r="E206" s="198">
        <v>3000</v>
      </c>
      <c r="F206" s="198">
        <v>2998.79</v>
      </c>
      <c r="G206" s="199">
        <f t="shared" si="11"/>
        <v>99.959666666666664</v>
      </c>
      <c r="H206" s="200"/>
      <c r="I206" s="191"/>
      <c r="J206" s="191"/>
      <c r="K206" s="191"/>
    </row>
    <row r="207" spans="1:11" ht="63" x14ac:dyDescent="0.25">
      <c r="A207" s="139">
        <v>44</v>
      </c>
      <c r="B207" s="246" t="s">
        <v>154</v>
      </c>
      <c r="C207" s="145" t="s">
        <v>149</v>
      </c>
      <c r="D207" s="145" t="s">
        <v>16</v>
      </c>
      <c r="E207" s="198">
        <f>E208</f>
        <v>111184</v>
      </c>
      <c r="F207" s="195">
        <f>F208</f>
        <v>107444.98</v>
      </c>
      <c r="G207" s="196">
        <f t="shared" si="11"/>
        <v>96.637088070225929</v>
      </c>
      <c r="H207" s="197">
        <v>100</v>
      </c>
      <c r="I207" s="143"/>
      <c r="J207" s="149" t="s">
        <v>433</v>
      </c>
      <c r="K207" s="143"/>
    </row>
    <row r="208" spans="1:11" s="155" customFormat="1" ht="19.5" x14ac:dyDescent="0.25">
      <c r="A208" s="189"/>
      <c r="B208" s="151" t="s">
        <v>13</v>
      </c>
      <c r="C208" s="150"/>
      <c r="D208" s="150"/>
      <c r="E208" s="198">
        <f>E210+E211</f>
        <v>111184</v>
      </c>
      <c r="F208" s="198">
        <f>F210+F211</f>
        <v>107444.98</v>
      </c>
      <c r="G208" s="199">
        <f t="shared" si="11"/>
        <v>96.637088070225929</v>
      </c>
      <c r="H208" s="200"/>
      <c r="I208" s="191"/>
      <c r="J208" s="191"/>
      <c r="K208" s="191"/>
    </row>
    <row r="209" spans="1:11" ht="19.5" x14ac:dyDescent="0.25">
      <c r="A209" s="139"/>
      <c r="B209" s="246" t="s">
        <v>155</v>
      </c>
      <c r="C209" s="139"/>
      <c r="D209" s="139"/>
      <c r="E209" s="202"/>
      <c r="F209" s="195"/>
      <c r="G209" s="196"/>
      <c r="H209" s="197"/>
      <c r="I209" s="143"/>
      <c r="J209" s="143"/>
      <c r="K209" s="143"/>
    </row>
    <row r="210" spans="1:11" ht="63" x14ac:dyDescent="0.25">
      <c r="A210" s="139"/>
      <c r="B210" s="246" t="s">
        <v>156</v>
      </c>
      <c r="C210" s="145"/>
      <c r="D210" s="145"/>
      <c r="E210" s="195">
        <v>11184</v>
      </c>
      <c r="F210" s="195">
        <v>11184</v>
      </c>
      <c r="G210" s="196">
        <f t="shared" si="11"/>
        <v>100</v>
      </c>
      <c r="H210" s="197"/>
      <c r="I210" s="143"/>
      <c r="J210" s="143"/>
      <c r="K210" s="143"/>
    </row>
    <row r="211" spans="1:11" ht="94.5" x14ac:dyDescent="0.25">
      <c r="A211" s="139"/>
      <c r="B211" s="246" t="s">
        <v>157</v>
      </c>
      <c r="C211" s="145"/>
      <c r="D211" s="145"/>
      <c r="E211" s="195">
        <v>100000</v>
      </c>
      <c r="F211" s="195">
        <v>96260.98</v>
      </c>
      <c r="G211" s="196">
        <f t="shared" si="11"/>
        <v>96.260979999999989</v>
      </c>
      <c r="H211" s="197"/>
      <c r="I211" s="143"/>
      <c r="J211" s="143"/>
      <c r="K211" s="143"/>
    </row>
    <row r="212" spans="1:11" ht="94.5" x14ac:dyDescent="0.25">
      <c r="A212" s="139">
        <v>45</v>
      </c>
      <c r="B212" s="246" t="s">
        <v>158</v>
      </c>
      <c r="C212" s="145" t="s">
        <v>149</v>
      </c>
      <c r="D212" s="145" t="s">
        <v>175</v>
      </c>
      <c r="E212" s="195">
        <v>36000</v>
      </c>
      <c r="F212" s="195">
        <v>36000</v>
      </c>
      <c r="G212" s="196">
        <f t="shared" si="11"/>
        <v>100</v>
      </c>
      <c r="H212" s="197">
        <v>100</v>
      </c>
      <c r="I212" s="143"/>
      <c r="J212" s="149" t="s">
        <v>380</v>
      </c>
      <c r="K212" s="143"/>
    </row>
    <row r="213" spans="1:11" s="155" customFormat="1" ht="19.5" x14ac:dyDescent="0.25">
      <c r="A213" s="189"/>
      <c r="B213" s="151" t="s">
        <v>13</v>
      </c>
      <c r="C213" s="150"/>
      <c r="D213" s="150"/>
      <c r="E213" s="198">
        <v>36000</v>
      </c>
      <c r="F213" s="198">
        <v>36000</v>
      </c>
      <c r="G213" s="199">
        <f t="shared" si="11"/>
        <v>100</v>
      </c>
      <c r="H213" s="200"/>
      <c r="I213" s="191"/>
      <c r="J213" s="191"/>
      <c r="K213" s="191"/>
    </row>
    <row r="214" spans="1:11" ht="78.75" x14ac:dyDescent="0.25">
      <c r="A214" s="139">
        <v>46</v>
      </c>
      <c r="B214" s="246" t="s">
        <v>159</v>
      </c>
      <c r="C214" s="145" t="s">
        <v>149</v>
      </c>
      <c r="D214" s="145" t="s">
        <v>16</v>
      </c>
      <c r="E214" s="195">
        <v>129005</v>
      </c>
      <c r="F214" s="195">
        <v>129005</v>
      </c>
      <c r="G214" s="196">
        <f t="shared" si="11"/>
        <v>100</v>
      </c>
      <c r="H214" s="197">
        <v>100</v>
      </c>
      <c r="I214" s="143"/>
      <c r="J214" s="149" t="s">
        <v>433</v>
      </c>
      <c r="K214" s="143"/>
    </row>
    <row r="215" spans="1:11" s="155" customFormat="1" ht="19.5" x14ac:dyDescent="0.25">
      <c r="A215" s="189"/>
      <c r="B215" s="151" t="s">
        <v>13</v>
      </c>
      <c r="C215" s="189"/>
      <c r="D215" s="150"/>
      <c r="E215" s="198">
        <v>129005</v>
      </c>
      <c r="F215" s="198">
        <v>129005</v>
      </c>
      <c r="G215" s="199">
        <f t="shared" si="11"/>
        <v>100</v>
      </c>
      <c r="H215" s="200"/>
      <c r="I215" s="191"/>
      <c r="J215" s="191"/>
      <c r="K215" s="191"/>
    </row>
    <row r="216" spans="1:11" ht="126" x14ac:dyDescent="0.25">
      <c r="A216" s="139">
        <v>47</v>
      </c>
      <c r="B216" s="246" t="s">
        <v>161</v>
      </c>
      <c r="C216" s="145" t="s">
        <v>149</v>
      </c>
      <c r="D216" s="145" t="s">
        <v>175</v>
      </c>
      <c r="E216" s="195">
        <v>26850</v>
      </c>
      <c r="F216" s="195">
        <v>26800.639999999999</v>
      </c>
      <c r="G216" s="196">
        <f t="shared" si="11"/>
        <v>99.816163873370584</v>
      </c>
      <c r="H216" s="197">
        <v>100</v>
      </c>
      <c r="I216" s="143"/>
      <c r="J216" s="149" t="s">
        <v>380</v>
      </c>
      <c r="K216" s="143"/>
    </row>
    <row r="217" spans="1:11" s="155" customFormat="1" ht="19.5" x14ac:dyDescent="0.25">
      <c r="A217" s="189"/>
      <c r="B217" s="151" t="s">
        <v>13</v>
      </c>
      <c r="C217" s="150"/>
      <c r="D217" s="150"/>
      <c r="E217" s="198">
        <v>26850</v>
      </c>
      <c r="F217" s="198">
        <v>26800.639999999999</v>
      </c>
      <c r="G217" s="199">
        <f t="shared" si="11"/>
        <v>99.816163873370584</v>
      </c>
      <c r="H217" s="200"/>
      <c r="I217" s="191"/>
      <c r="J217" s="191"/>
      <c r="K217" s="191"/>
    </row>
    <row r="218" spans="1:11" ht="126" x14ac:dyDescent="0.25">
      <c r="A218" s="139">
        <v>48</v>
      </c>
      <c r="B218" s="246" t="s">
        <v>162</v>
      </c>
      <c r="C218" s="145" t="s">
        <v>149</v>
      </c>
      <c r="D218" s="145" t="s">
        <v>16</v>
      </c>
      <c r="E218" s="195">
        <f>E219</f>
        <v>1966485</v>
      </c>
      <c r="F218" s="195">
        <f>F219</f>
        <v>1966480.49</v>
      </c>
      <c r="G218" s="196">
        <f t="shared" si="11"/>
        <v>99.99977065678101</v>
      </c>
      <c r="H218" s="197">
        <v>100</v>
      </c>
      <c r="I218" s="143"/>
      <c r="J218" s="149" t="s">
        <v>433</v>
      </c>
      <c r="K218" s="143"/>
    </row>
    <row r="219" spans="1:11" s="155" customFormat="1" ht="19.5" x14ac:dyDescent="0.25">
      <c r="A219" s="189"/>
      <c r="B219" s="151" t="s">
        <v>13</v>
      </c>
      <c r="C219" s="150"/>
      <c r="D219" s="150"/>
      <c r="E219" s="198">
        <f>E221+E224+E228+E231</f>
        <v>1966485</v>
      </c>
      <c r="F219" s="198">
        <f>F221+F224+F228+F231</f>
        <v>1966480.49</v>
      </c>
      <c r="G219" s="199">
        <f t="shared" si="11"/>
        <v>99.99977065678101</v>
      </c>
      <c r="H219" s="200"/>
      <c r="I219" s="191"/>
      <c r="J219" s="191"/>
      <c r="K219" s="191"/>
    </row>
    <row r="220" spans="1:11" ht="19.5" x14ac:dyDescent="0.25">
      <c r="A220" s="139"/>
      <c r="B220" s="246" t="s">
        <v>163</v>
      </c>
      <c r="C220" s="145"/>
      <c r="D220" s="145"/>
      <c r="E220" s="195"/>
      <c r="F220" s="195"/>
      <c r="G220" s="196"/>
      <c r="H220" s="197"/>
      <c r="I220" s="143"/>
      <c r="J220" s="143"/>
      <c r="K220" s="143"/>
    </row>
    <row r="221" spans="1:11" ht="19.5" x14ac:dyDescent="0.25">
      <c r="A221" s="139"/>
      <c r="B221" s="246" t="s">
        <v>164</v>
      </c>
      <c r="C221" s="139"/>
      <c r="D221" s="139"/>
      <c r="E221" s="195">
        <f>E223</f>
        <v>300000</v>
      </c>
      <c r="F221" s="195">
        <f>F223</f>
        <v>300000</v>
      </c>
      <c r="G221" s="196">
        <f t="shared" si="11"/>
        <v>100</v>
      </c>
      <c r="H221" s="197"/>
      <c r="I221" s="143"/>
      <c r="J221" s="143"/>
      <c r="K221" s="143"/>
    </row>
    <row r="222" spans="1:11" ht="19.5" x14ac:dyDescent="0.25">
      <c r="A222" s="139"/>
      <c r="B222" s="246" t="s">
        <v>155</v>
      </c>
      <c r="C222" s="145"/>
      <c r="D222" s="145"/>
      <c r="E222" s="195"/>
      <c r="F222" s="195"/>
      <c r="G222" s="196"/>
      <c r="H222" s="197"/>
      <c r="I222" s="143"/>
      <c r="J222" s="143"/>
      <c r="K222" s="143"/>
    </row>
    <row r="223" spans="1:11" ht="63" x14ac:dyDescent="0.25">
      <c r="A223" s="139"/>
      <c r="B223" s="246" t="s">
        <v>464</v>
      </c>
      <c r="C223" s="203"/>
      <c r="D223" s="203"/>
      <c r="E223" s="195">
        <v>300000</v>
      </c>
      <c r="F223" s="195">
        <v>300000</v>
      </c>
      <c r="G223" s="196">
        <f t="shared" ref="G223:G286" si="12">F223/E223*100</f>
        <v>100</v>
      </c>
      <c r="H223" s="197"/>
      <c r="I223" s="143"/>
      <c r="J223" s="143"/>
      <c r="K223" s="143"/>
    </row>
    <row r="224" spans="1:11" ht="19.5" x14ac:dyDescent="0.25">
      <c r="A224" s="139"/>
      <c r="B224" s="246" t="s">
        <v>166</v>
      </c>
      <c r="C224" s="203"/>
      <c r="D224" s="203"/>
      <c r="E224" s="195">
        <f>E226+E227</f>
        <v>665000</v>
      </c>
      <c r="F224" s="195">
        <f>F226+F227</f>
        <v>664995.49</v>
      </c>
      <c r="G224" s="196">
        <f t="shared" si="12"/>
        <v>99.999321804511283</v>
      </c>
      <c r="H224" s="197"/>
      <c r="I224" s="143"/>
      <c r="J224" s="143"/>
      <c r="K224" s="143"/>
    </row>
    <row r="225" spans="1:11" ht="19.5" x14ac:dyDescent="0.25">
      <c r="A225" s="139"/>
      <c r="B225" s="246" t="s">
        <v>155</v>
      </c>
      <c r="C225" s="203"/>
      <c r="D225" s="203"/>
      <c r="E225" s="195"/>
      <c r="F225" s="195"/>
      <c r="G225" s="196"/>
      <c r="H225" s="197"/>
      <c r="I225" s="143"/>
      <c r="J225" s="143"/>
      <c r="K225" s="143"/>
    </row>
    <row r="226" spans="1:11" ht="47.25" x14ac:dyDescent="0.25">
      <c r="A226" s="139"/>
      <c r="B226" s="246" t="s">
        <v>167</v>
      </c>
      <c r="C226" s="203"/>
      <c r="D226" s="203"/>
      <c r="E226" s="195">
        <v>300000</v>
      </c>
      <c r="F226" s="195">
        <v>299995.49</v>
      </c>
      <c r="G226" s="196">
        <f t="shared" si="12"/>
        <v>99.998496666666654</v>
      </c>
      <c r="H226" s="197"/>
      <c r="I226" s="143"/>
      <c r="J226" s="143"/>
      <c r="K226" s="143"/>
    </row>
    <row r="227" spans="1:11" ht="78.75" x14ac:dyDescent="0.25">
      <c r="A227" s="139"/>
      <c r="B227" s="246" t="s">
        <v>465</v>
      </c>
      <c r="C227" s="203"/>
      <c r="D227" s="203"/>
      <c r="E227" s="195">
        <v>365000</v>
      </c>
      <c r="F227" s="195">
        <v>365000</v>
      </c>
      <c r="G227" s="196">
        <f t="shared" si="12"/>
        <v>100</v>
      </c>
      <c r="H227" s="197"/>
      <c r="I227" s="143"/>
      <c r="J227" s="143"/>
      <c r="K227" s="143"/>
    </row>
    <row r="228" spans="1:11" ht="19.5" x14ac:dyDescent="0.25">
      <c r="A228" s="139"/>
      <c r="B228" s="246" t="s">
        <v>169</v>
      </c>
      <c r="C228" s="145"/>
      <c r="D228" s="145"/>
      <c r="E228" s="195">
        <f>E230</f>
        <v>350000</v>
      </c>
      <c r="F228" s="195">
        <f>F230</f>
        <v>350000</v>
      </c>
      <c r="G228" s="196">
        <f t="shared" si="12"/>
        <v>100</v>
      </c>
      <c r="H228" s="197"/>
      <c r="I228" s="143"/>
      <c r="J228" s="143"/>
      <c r="K228" s="143"/>
    </row>
    <row r="229" spans="1:11" ht="19.5" x14ac:dyDescent="0.25">
      <c r="A229" s="139"/>
      <c r="B229" s="246" t="s">
        <v>155</v>
      </c>
      <c r="C229" s="145"/>
      <c r="D229" s="145"/>
      <c r="E229" s="195"/>
      <c r="F229" s="195"/>
      <c r="G229" s="196"/>
      <c r="H229" s="197"/>
      <c r="I229" s="143"/>
      <c r="J229" s="143"/>
      <c r="K229" s="143"/>
    </row>
    <row r="230" spans="1:11" ht="47.25" x14ac:dyDescent="0.25">
      <c r="A230" s="139"/>
      <c r="B230" s="246" t="s">
        <v>170</v>
      </c>
      <c r="C230" s="139"/>
      <c r="D230" s="139"/>
      <c r="E230" s="195">
        <v>350000</v>
      </c>
      <c r="F230" s="195">
        <v>350000</v>
      </c>
      <c r="G230" s="196">
        <f t="shared" si="12"/>
        <v>100</v>
      </c>
      <c r="H230" s="197"/>
      <c r="I230" s="143"/>
      <c r="J230" s="143"/>
      <c r="K230" s="143"/>
    </row>
    <row r="231" spans="1:11" ht="19.5" x14ac:dyDescent="0.25">
      <c r="A231" s="139"/>
      <c r="B231" s="246" t="s">
        <v>171</v>
      </c>
      <c r="C231" s="139"/>
      <c r="D231" s="139"/>
      <c r="E231" s="195">
        <f>E233</f>
        <v>651485</v>
      </c>
      <c r="F231" s="195">
        <f>F233</f>
        <v>651485</v>
      </c>
      <c r="G231" s="196">
        <f t="shared" si="12"/>
        <v>100</v>
      </c>
      <c r="H231" s="197"/>
      <c r="I231" s="143"/>
      <c r="J231" s="143"/>
      <c r="K231" s="143"/>
    </row>
    <row r="232" spans="1:11" ht="19.5" x14ac:dyDescent="0.25">
      <c r="A232" s="139"/>
      <c r="B232" s="246" t="s">
        <v>155</v>
      </c>
      <c r="C232" s="139"/>
      <c r="D232" s="139"/>
      <c r="E232" s="195"/>
      <c r="F232" s="195"/>
      <c r="G232" s="196"/>
      <c r="H232" s="197"/>
      <c r="I232" s="143"/>
      <c r="J232" s="143"/>
      <c r="K232" s="143"/>
    </row>
    <row r="233" spans="1:11" ht="63" x14ac:dyDescent="0.25">
      <c r="A233" s="139"/>
      <c r="B233" s="246" t="s">
        <v>172</v>
      </c>
      <c r="C233" s="203"/>
      <c r="D233" s="203"/>
      <c r="E233" s="195">
        <v>651485</v>
      </c>
      <c r="F233" s="195">
        <v>651485</v>
      </c>
      <c r="G233" s="196">
        <f t="shared" si="12"/>
        <v>100</v>
      </c>
      <c r="H233" s="197"/>
      <c r="I233" s="143"/>
      <c r="J233" s="143"/>
      <c r="K233" s="143"/>
    </row>
    <row r="234" spans="1:11" ht="110.25" x14ac:dyDescent="0.25">
      <c r="A234" s="139">
        <v>49</v>
      </c>
      <c r="B234" s="246" t="s">
        <v>466</v>
      </c>
      <c r="C234" s="145" t="s">
        <v>149</v>
      </c>
      <c r="D234" s="145" t="s">
        <v>175</v>
      </c>
      <c r="E234" s="195">
        <v>7000</v>
      </c>
      <c r="F234" s="195">
        <v>7000</v>
      </c>
      <c r="G234" s="196">
        <f t="shared" si="12"/>
        <v>100</v>
      </c>
      <c r="H234" s="197">
        <v>100</v>
      </c>
      <c r="I234" s="246"/>
      <c r="J234" s="149" t="s">
        <v>380</v>
      </c>
      <c r="K234" s="246"/>
    </row>
    <row r="235" spans="1:11" s="155" customFormat="1" ht="19.5" x14ac:dyDescent="0.25">
      <c r="A235" s="189"/>
      <c r="B235" s="156" t="s">
        <v>13</v>
      </c>
      <c r="C235" s="150"/>
      <c r="D235" s="150"/>
      <c r="E235" s="198">
        <v>7000</v>
      </c>
      <c r="F235" s="198">
        <v>7000</v>
      </c>
      <c r="G235" s="199">
        <f t="shared" si="12"/>
        <v>100</v>
      </c>
      <c r="H235" s="200"/>
      <c r="I235" s="204"/>
      <c r="J235" s="191"/>
      <c r="K235" s="191"/>
    </row>
    <row r="236" spans="1:11" ht="78.75" x14ac:dyDescent="0.25">
      <c r="A236" s="139">
        <v>50</v>
      </c>
      <c r="B236" s="246" t="s">
        <v>178</v>
      </c>
      <c r="C236" s="203" t="s">
        <v>149</v>
      </c>
      <c r="D236" s="145" t="s">
        <v>57</v>
      </c>
      <c r="E236" s="195">
        <v>13971</v>
      </c>
      <c r="F236" s="195">
        <v>13942.67</v>
      </c>
      <c r="G236" s="196">
        <f t="shared" si="12"/>
        <v>99.797222818695872</v>
      </c>
      <c r="H236" s="197">
        <v>100</v>
      </c>
      <c r="I236" s="143"/>
      <c r="J236" s="149" t="s">
        <v>449</v>
      </c>
      <c r="K236" s="143"/>
    </row>
    <row r="237" spans="1:11" s="155" customFormat="1" ht="19.5" x14ac:dyDescent="0.25">
      <c r="A237" s="189"/>
      <c r="B237" s="151" t="s">
        <v>13</v>
      </c>
      <c r="C237" s="205"/>
      <c r="D237" s="150"/>
      <c r="E237" s="198">
        <v>13971</v>
      </c>
      <c r="F237" s="198">
        <v>13942.67</v>
      </c>
      <c r="G237" s="199">
        <f t="shared" si="12"/>
        <v>99.797222818695872</v>
      </c>
      <c r="H237" s="200"/>
      <c r="I237" s="191"/>
      <c r="J237" s="191"/>
      <c r="K237" s="191"/>
    </row>
    <row r="238" spans="1:11" ht="63" x14ac:dyDescent="0.25">
      <c r="A238" s="139">
        <v>51</v>
      </c>
      <c r="B238" s="246" t="s">
        <v>179</v>
      </c>
      <c r="C238" s="203" t="s">
        <v>149</v>
      </c>
      <c r="D238" s="145" t="s">
        <v>16</v>
      </c>
      <c r="E238" s="195">
        <v>5000</v>
      </c>
      <c r="F238" s="195">
        <v>4999.1899999999996</v>
      </c>
      <c r="G238" s="196">
        <f t="shared" si="12"/>
        <v>99.983799999999988</v>
      </c>
      <c r="H238" s="197">
        <v>100</v>
      </c>
      <c r="I238" s="143"/>
      <c r="J238" s="149" t="s">
        <v>433</v>
      </c>
      <c r="K238" s="143"/>
    </row>
    <row r="239" spans="1:11" s="155" customFormat="1" ht="19.5" x14ac:dyDescent="0.25">
      <c r="A239" s="189"/>
      <c r="B239" s="151" t="s">
        <v>13</v>
      </c>
      <c r="C239" s="205"/>
      <c r="D239" s="150"/>
      <c r="E239" s="198">
        <v>5000</v>
      </c>
      <c r="F239" s="198">
        <v>4999.1899999999996</v>
      </c>
      <c r="G239" s="199">
        <f t="shared" si="12"/>
        <v>99.983799999999988</v>
      </c>
      <c r="H239" s="200"/>
      <c r="I239" s="191"/>
      <c r="J239" s="191"/>
      <c r="K239" s="191"/>
    </row>
    <row r="240" spans="1:11" ht="126" x14ac:dyDescent="0.25">
      <c r="A240" s="139">
        <v>52</v>
      </c>
      <c r="B240" s="246" t="s">
        <v>467</v>
      </c>
      <c r="C240" s="203" t="s">
        <v>149</v>
      </c>
      <c r="D240" s="145" t="s">
        <v>175</v>
      </c>
      <c r="E240" s="195">
        <v>4000</v>
      </c>
      <c r="F240" s="195">
        <v>4000</v>
      </c>
      <c r="G240" s="196">
        <f t="shared" si="12"/>
        <v>100</v>
      </c>
      <c r="H240" s="197">
        <v>100</v>
      </c>
      <c r="I240" s="143"/>
      <c r="J240" s="149" t="s">
        <v>380</v>
      </c>
      <c r="K240" s="143"/>
    </row>
    <row r="241" spans="1:11" s="155" customFormat="1" ht="19.5" x14ac:dyDescent="0.25">
      <c r="A241" s="189"/>
      <c r="B241" s="151" t="s">
        <v>13</v>
      </c>
      <c r="C241" s="205"/>
      <c r="D241" s="150"/>
      <c r="E241" s="198">
        <v>4000</v>
      </c>
      <c r="F241" s="198">
        <v>4000</v>
      </c>
      <c r="G241" s="199">
        <f t="shared" si="12"/>
        <v>100</v>
      </c>
      <c r="H241" s="200"/>
      <c r="I241" s="191"/>
      <c r="J241" s="191"/>
      <c r="K241" s="191"/>
    </row>
    <row r="242" spans="1:11" ht="110.25" x14ac:dyDescent="0.25">
      <c r="A242" s="139">
        <v>53</v>
      </c>
      <c r="B242" s="246" t="s">
        <v>181</v>
      </c>
      <c r="C242" s="203" t="s">
        <v>149</v>
      </c>
      <c r="D242" s="145" t="s">
        <v>16</v>
      </c>
      <c r="E242" s="195">
        <v>2400</v>
      </c>
      <c r="F242" s="195">
        <v>2400</v>
      </c>
      <c r="G242" s="196">
        <f t="shared" si="12"/>
        <v>100</v>
      </c>
      <c r="H242" s="197">
        <v>100</v>
      </c>
      <c r="I242" s="143"/>
      <c r="J242" s="149" t="s">
        <v>433</v>
      </c>
      <c r="K242" s="143"/>
    </row>
    <row r="243" spans="1:11" s="155" customFormat="1" ht="19.5" x14ac:dyDescent="0.25">
      <c r="A243" s="189"/>
      <c r="B243" s="151" t="s">
        <v>13</v>
      </c>
      <c r="C243" s="205"/>
      <c r="D243" s="150"/>
      <c r="E243" s="198">
        <v>2400</v>
      </c>
      <c r="F243" s="198">
        <v>2400</v>
      </c>
      <c r="G243" s="199">
        <f t="shared" si="12"/>
        <v>100</v>
      </c>
      <c r="H243" s="200"/>
      <c r="I243" s="191"/>
      <c r="J243" s="191"/>
      <c r="K243" s="191"/>
    </row>
    <row r="244" spans="1:11" ht="94.5" x14ac:dyDescent="0.25">
      <c r="A244" s="139">
        <v>54</v>
      </c>
      <c r="B244" s="246" t="s">
        <v>182</v>
      </c>
      <c r="C244" s="203" t="s">
        <v>149</v>
      </c>
      <c r="D244" s="145" t="s">
        <v>16</v>
      </c>
      <c r="E244" s="195">
        <v>74812</v>
      </c>
      <c r="F244" s="195">
        <v>74812</v>
      </c>
      <c r="G244" s="196">
        <f t="shared" si="12"/>
        <v>100</v>
      </c>
      <c r="H244" s="197">
        <v>100</v>
      </c>
      <c r="I244" s="143"/>
      <c r="J244" s="149" t="s">
        <v>433</v>
      </c>
      <c r="K244" s="143"/>
    </row>
    <row r="245" spans="1:11" s="155" customFormat="1" ht="19.5" x14ac:dyDescent="0.25">
      <c r="A245" s="189"/>
      <c r="B245" s="151" t="s">
        <v>13</v>
      </c>
      <c r="C245" s="205"/>
      <c r="D245" s="150"/>
      <c r="E245" s="198">
        <v>74812</v>
      </c>
      <c r="F245" s="198">
        <v>74812</v>
      </c>
      <c r="G245" s="199">
        <f t="shared" si="12"/>
        <v>100</v>
      </c>
      <c r="H245" s="200"/>
      <c r="I245" s="191"/>
      <c r="J245" s="191"/>
      <c r="K245" s="191"/>
    </row>
    <row r="246" spans="1:11" ht="126" x14ac:dyDescent="0.25">
      <c r="A246" s="139">
        <v>55</v>
      </c>
      <c r="B246" s="246" t="s">
        <v>183</v>
      </c>
      <c r="C246" s="203" t="s">
        <v>149</v>
      </c>
      <c r="D246" s="145" t="s">
        <v>57</v>
      </c>
      <c r="E246" s="195">
        <v>34068</v>
      </c>
      <c r="F246" s="195">
        <v>34068</v>
      </c>
      <c r="G246" s="196">
        <f t="shared" si="12"/>
        <v>100</v>
      </c>
      <c r="H246" s="197">
        <v>100</v>
      </c>
      <c r="I246" s="143"/>
      <c r="J246" s="149" t="s">
        <v>449</v>
      </c>
      <c r="K246" s="143"/>
    </row>
    <row r="247" spans="1:11" s="155" customFormat="1" ht="19.5" x14ac:dyDescent="0.25">
      <c r="A247" s="189"/>
      <c r="B247" s="151" t="s">
        <v>13</v>
      </c>
      <c r="C247" s="205"/>
      <c r="D247" s="205"/>
      <c r="E247" s="198">
        <v>34068</v>
      </c>
      <c r="F247" s="198">
        <v>34068</v>
      </c>
      <c r="G247" s="199">
        <f t="shared" si="12"/>
        <v>100</v>
      </c>
      <c r="H247" s="200"/>
      <c r="I247" s="191"/>
      <c r="J247" s="191"/>
      <c r="K247" s="191"/>
    </row>
    <row r="248" spans="1:11" ht="94.5" x14ac:dyDescent="0.25">
      <c r="A248" s="139">
        <v>56</v>
      </c>
      <c r="B248" s="246" t="s">
        <v>468</v>
      </c>
      <c r="C248" s="203" t="s">
        <v>149</v>
      </c>
      <c r="D248" s="145">
        <v>2018</v>
      </c>
      <c r="E248" s="195">
        <f>E249</f>
        <v>1315657</v>
      </c>
      <c r="F248" s="195">
        <f>F249</f>
        <v>1310810.1100000001</v>
      </c>
      <c r="G248" s="196">
        <f t="shared" si="12"/>
        <v>99.631599269414451</v>
      </c>
      <c r="H248" s="197">
        <v>100</v>
      </c>
      <c r="I248" s="143"/>
      <c r="J248" s="149" t="s">
        <v>380</v>
      </c>
      <c r="K248" s="143"/>
    </row>
    <row r="249" spans="1:11" s="155" customFormat="1" ht="19.5" x14ac:dyDescent="0.25">
      <c r="A249" s="189"/>
      <c r="B249" s="151" t="s">
        <v>13</v>
      </c>
      <c r="C249" s="205"/>
      <c r="D249" s="150"/>
      <c r="E249" s="198">
        <f>E251+E252+E258+E259</f>
        <v>1315657</v>
      </c>
      <c r="F249" s="198">
        <f>F251+F252+F258+F259</f>
        <v>1310810.1100000001</v>
      </c>
      <c r="G249" s="199">
        <f t="shared" si="12"/>
        <v>99.631599269414451</v>
      </c>
      <c r="H249" s="200"/>
      <c r="I249" s="191"/>
      <c r="J249" s="191"/>
      <c r="K249" s="191"/>
    </row>
    <row r="250" spans="1:11" s="155" customFormat="1" ht="19.5" x14ac:dyDescent="0.25">
      <c r="A250" s="189"/>
      <c r="B250" s="246" t="s">
        <v>163</v>
      </c>
      <c r="C250" s="205"/>
      <c r="D250" s="150"/>
      <c r="E250" s="198"/>
      <c r="F250" s="198"/>
      <c r="G250" s="199"/>
      <c r="H250" s="200"/>
      <c r="I250" s="191"/>
      <c r="J250" s="191"/>
      <c r="K250" s="191"/>
    </row>
    <row r="251" spans="1:11" s="155" customFormat="1" ht="31.5" x14ac:dyDescent="0.25">
      <c r="A251" s="189"/>
      <c r="B251" s="246" t="s">
        <v>469</v>
      </c>
      <c r="C251" s="205"/>
      <c r="D251" s="150"/>
      <c r="E251" s="195">
        <v>45000</v>
      </c>
      <c r="F251" s="195">
        <v>45000</v>
      </c>
      <c r="G251" s="196">
        <f t="shared" si="12"/>
        <v>100</v>
      </c>
      <c r="H251" s="200"/>
      <c r="I251" s="191"/>
      <c r="J251" s="191"/>
      <c r="K251" s="191"/>
    </row>
    <row r="252" spans="1:11" s="155" customFormat="1" ht="31.5" x14ac:dyDescent="0.25">
      <c r="A252" s="189"/>
      <c r="B252" s="246" t="s">
        <v>470</v>
      </c>
      <c r="C252" s="205"/>
      <c r="D252" s="150"/>
      <c r="E252" s="195">
        <f>E254+E255+E256+E257</f>
        <v>1046678.6599999999</v>
      </c>
      <c r="F252" s="195">
        <f>F254+F255+F256+F257</f>
        <v>1042540.7699999999</v>
      </c>
      <c r="G252" s="196">
        <f t="shared" si="12"/>
        <v>99.604664721071117</v>
      </c>
      <c r="H252" s="200"/>
      <c r="I252" s="191"/>
      <c r="J252" s="191"/>
      <c r="K252" s="191"/>
    </row>
    <row r="253" spans="1:11" s="155" customFormat="1" ht="19.5" x14ac:dyDescent="0.25">
      <c r="A253" s="189"/>
      <c r="B253" s="246" t="s">
        <v>155</v>
      </c>
      <c r="C253" s="205"/>
      <c r="D253" s="150"/>
      <c r="E253" s="195"/>
      <c r="F253" s="198"/>
      <c r="G253" s="196"/>
      <c r="H253" s="200"/>
      <c r="I253" s="191"/>
      <c r="J253" s="191"/>
      <c r="K253" s="191"/>
    </row>
    <row r="254" spans="1:11" s="155" customFormat="1" ht="19.5" x14ac:dyDescent="0.25">
      <c r="A254" s="189"/>
      <c r="B254" s="246" t="s">
        <v>471</v>
      </c>
      <c r="C254" s="205"/>
      <c r="D254" s="150"/>
      <c r="E254" s="195">
        <v>706741.2</v>
      </c>
      <c r="F254" s="195">
        <v>706741.2</v>
      </c>
      <c r="G254" s="196">
        <f t="shared" si="12"/>
        <v>100</v>
      </c>
      <c r="H254" s="200"/>
      <c r="I254" s="191"/>
      <c r="J254" s="191"/>
      <c r="K254" s="191"/>
    </row>
    <row r="255" spans="1:11" s="155" customFormat="1" ht="63" x14ac:dyDescent="0.25">
      <c r="A255" s="189"/>
      <c r="B255" s="246" t="s">
        <v>472</v>
      </c>
      <c r="C255" s="205"/>
      <c r="D255" s="150"/>
      <c r="E255" s="195">
        <v>71000</v>
      </c>
      <c r="F255" s="195">
        <v>71000</v>
      </c>
      <c r="G255" s="196">
        <f t="shared" si="12"/>
        <v>100</v>
      </c>
      <c r="H255" s="200"/>
      <c r="I255" s="191"/>
      <c r="J255" s="191"/>
      <c r="K255" s="191"/>
    </row>
    <row r="256" spans="1:11" s="155" customFormat="1" ht="63" x14ac:dyDescent="0.25">
      <c r="A256" s="189"/>
      <c r="B256" s="246" t="s">
        <v>473</v>
      </c>
      <c r="C256" s="205"/>
      <c r="D256" s="150"/>
      <c r="E256" s="195">
        <v>60000</v>
      </c>
      <c r="F256" s="195">
        <v>55862.11</v>
      </c>
      <c r="G256" s="196">
        <f t="shared" si="12"/>
        <v>93.103516666666664</v>
      </c>
      <c r="H256" s="200"/>
      <c r="I256" s="191"/>
      <c r="J256" s="191"/>
      <c r="K256" s="191"/>
    </row>
    <row r="257" spans="1:11" s="155" customFormat="1" ht="78.75" x14ac:dyDescent="0.25">
      <c r="A257" s="189"/>
      <c r="B257" s="246" t="s">
        <v>474</v>
      </c>
      <c r="C257" s="205"/>
      <c r="D257" s="150"/>
      <c r="E257" s="195">
        <v>208937.46</v>
      </c>
      <c r="F257" s="195">
        <v>208937.46</v>
      </c>
      <c r="G257" s="196">
        <f t="shared" si="12"/>
        <v>100</v>
      </c>
      <c r="H257" s="200"/>
      <c r="I257" s="191"/>
      <c r="J257" s="191"/>
      <c r="K257" s="191"/>
    </row>
    <row r="258" spans="1:11" s="155" customFormat="1" ht="47.25" x14ac:dyDescent="0.25">
      <c r="A258" s="189"/>
      <c r="B258" s="246" t="s">
        <v>475</v>
      </c>
      <c r="C258" s="205"/>
      <c r="D258" s="150"/>
      <c r="E258" s="195">
        <v>123619.34</v>
      </c>
      <c r="F258" s="195">
        <v>123619.34</v>
      </c>
      <c r="G258" s="196">
        <f t="shared" si="12"/>
        <v>100</v>
      </c>
      <c r="H258" s="200"/>
      <c r="I258" s="191"/>
      <c r="J258" s="191"/>
      <c r="K258" s="191"/>
    </row>
    <row r="259" spans="1:11" s="155" customFormat="1" ht="31.5" x14ac:dyDescent="0.25">
      <c r="A259" s="189"/>
      <c r="B259" s="246" t="s">
        <v>476</v>
      </c>
      <c r="C259" s="205"/>
      <c r="D259" s="150"/>
      <c r="E259" s="195">
        <v>100359</v>
      </c>
      <c r="F259" s="198">
        <v>99650</v>
      </c>
      <c r="G259" s="196">
        <f t="shared" si="12"/>
        <v>99.293536205023969</v>
      </c>
      <c r="H259" s="200"/>
      <c r="I259" s="191"/>
      <c r="J259" s="191"/>
      <c r="K259" s="191"/>
    </row>
    <row r="260" spans="1:11" ht="63" x14ac:dyDescent="0.25">
      <c r="A260" s="139">
        <v>57</v>
      </c>
      <c r="B260" s="246" t="s">
        <v>185</v>
      </c>
      <c r="C260" s="203" t="s">
        <v>48</v>
      </c>
      <c r="D260" s="145" t="s">
        <v>16</v>
      </c>
      <c r="E260" s="195">
        <v>192196</v>
      </c>
      <c r="F260" s="195">
        <v>116525.36</v>
      </c>
      <c r="G260" s="196">
        <f t="shared" si="12"/>
        <v>60.628400174821536</v>
      </c>
      <c r="H260" s="197">
        <v>100</v>
      </c>
      <c r="I260" s="246" t="s">
        <v>477</v>
      </c>
      <c r="J260" s="149" t="s">
        <v>433</v>
      </c>
      <c r="K260" s="143"/>
    </row>
    <row r="261" spans="1:11" s="155" customFormat="1" ht="19.5" x14ac:dyDescent="0.25">
      <c r="A261" s="189"/>
      <c r="B261" s="151" t="s">
        <v>13</v>
      </c>
      <c r="C261" s="205"/>
      <c r="D261" s="150"/>
      <c r="E261" s="198">
        <v>192196</v>
      </c>
      <c r="F261" s="198">
        <v>116525.36</v>
      </c>
      <c r="G261" s="199">
        <f t="shared" si="12"/>
        <v>60.628400174821536</v>
      </c>
      <c r="H261" s="200"/>
      <c r="I261" s="206"/>
      <c r="J261" s="191"/>
      <c r="K261" s="191"/>
    </row>
    <row r="262" spans="1:11" ht="94.5" x14ac:dyDescent="0.25">
      <c r="A262" s="139">
        <v>58</v>
      </c>
      <c r="B262" s="246" t="s">
        <v>187</v>
      </c>
      <c r="C262" s="203" t="s">
        <v>186</v>
      </c>
      <c r="D262" s="145" t="s">
        <v>177</v>
      </c>
      <c r="E262" s="195">
        <v>10000</v>
      </c>
      <c r="F262" s="195">
        <v>8500</v>
      </c>
      <c r="G262" s="196">
        <f t="shared" si="12"/>
        <v>85</v>
      </c>
      <c r="H262" s="197">
        <v>100</v>
      </c>
      <c r="I262" s="143"/>
      <c r="J262" s="149" t="s">
        <v>478</v>
      </c>
      <c r="K262" s="143"/>
    </row>
    <row r="263" spans="1:11" s="155" customFormat="1" ht="19.5" x14ac:dyDescent="0.25">
      <c r="A263" s="189"/>
      <c r="B263" s="151" t="s">
        <v>22</v>
      </c>
      <c r="C263" s="205"/>
      <c r="D263" s="150"/>
      <c r="E263" s="198">
        <v>10000</v>
      </c>
      <c r="F263" s="198">
        <v>8500</v>
      </c>
      <c r="G263" s="199">
        <f t="shared" si="12"/>
        <v>85</v>
      </c>
      <c r="H263" s="200"/>
      <c r="I263" s="191"/>
      <c r="J263" s="158"/>
      <c r="K263" s="191"/>
    </row>
    <row r="264" spans="1:11" ht="126" x14ac:dyDescent="0.25">
      <c r="A264" s="139">
        <v>59</v>
      </c>
      <c r="B264" s="246" t="s">
        <v>188</v>
      </c>
      <c r="C264" s="203" t="s">
        <v>186</v>
      </c>
      <c r="D264" s="145" t="s">
        <v>16</v>
      </c>
      <c r="E264" s="195">
        <v>10000</v>
      </c>
      <c r="F264" s="195">
        <v>8500</v>
      </c>
      <c r="G264" s="196">
        <f t="shared" si="12"/>
        <v>85</v>
      </c>
      <c r="H264" s="197">
        <v>100</v>
      </c>
      <c r="I264" s="143"/>
      <c r="J264" s="149" t="s">
        <v>433</v>
      </c>
      <c r="K264" s="143"/>
    </row>
    <row r="265" spans="1:11" s="155" customFormat="1" ht="19.5" x14ac:dyDescent="0.25">
      <c r="A265" s="189"/>
      <c r="B265" s="151" t="s">
        <v>22</v>
      </c>
      <c r="C265" s="205"/>
      <c r="D265" s="205"/>
      <c r="E265" s="198">
        <v>10000</v>
      </c>
      <c r="F265" s="198">
        <v>8500</v>
      </c>
      <c r="G265" s="199">
        <f t="shared" si="12"/>
        <v>85</v>
      </c>
      <c r="H265" s="200"/>
      <c r="I265" s="191"/>
      <c r="J265" s="191"/>
      <c r="K265" s="191"/>
    </row>
    <row r="266" spans="1:11" ht="78.75" x14ac:dyDescent="0.25">
      <c r="A266" s="139">
        <v>60</v>
      </c>
      <c r="B266" s="246" t="s">
        <v>189</v>
      </c>
      <c r="C266" s="203" t="s">
        <v>186</v>
      </c>
      <c r="D266" s="145" t="s">
        <v>16</v>
      </c>
      <c r="E266" s="195">
        <v>12000</v>
      </c>
      <c r="F266" s="195">
        <v>11989.3</v>
      </c>
      <c r="G266" s="196">
        <f t="shared" si="12"/>
        <v>99.910833333333329</v>
      </c>
      <c r="H266" s="197">
        <v>100</v>
      </c>
      <c r="I266" s="143"/>
      <c r="J266" s="149" t="s">
        <v>433</v>
      </c>
      <c r="K266" s="143"/>
    </row>
    <row r="267" spans="1:11" s="155" customFormat="1" ht="19.5" x14ac:dyDescent="0.25">
      <c r="A267" s="189"/>
      <c r="B267" s="151" t="s">
        <v>22</v>
      </c>
      <c r="C267" s="205"/>
      <c r="D267" s="205"/>
      <c r="E267" s="198">
        <v>12000</v>
      </c>
      <c r="F267" s="198">
        <v>11989.3</v>
      </c>
      <c r="G267" s="199">
        <f t="shared" si="12"/>
        <v>99.910833333333329</v>
      </c>
      <c r="H267" s="200"/>
      <c r="I267" s="191"/>
      <c r="J267" s="191"/>
      <c r="K267" s="191"/>
    </row>
    <row r="268" spans="1:11" ht="173.25" x14ac:dyDescent="0.25">
      <c r="A268" s="139">
        <v>61</v>
      </c>
      <c r="B268" s="246" t="s">
        <v>190</v>
      </c>
      <c r="C268" s="203" t="s">
        <v>186</v>
      </c>
      <c r="D268" s="145" t="s">
        <v>16</v>
      </c>
      <c r="E268" s="195">
        <v>20000</v>
      </c>
      <c r="F268" s="195">
        <v>19999.8</v>
      </c>
      <c r="G268" s="196">
        <f t="shared" si="12"/>
        <v>99.998999999999995</v>
      </c>
      <c r="H268" s="197">
        <v>100</v>
      </c>
      <c r="I268" s="246"/>
      <c r="J268" s="149" t="s">
        <v>433</v>
      </c>
      <c r="K268" s="143"/>
    </row>
    <row r="269" spans="1:11" s="155" customFormat="1" ht="19.5" x14ac:dyDescent="0.25">
      <c r="A269" s="189"/>
      <c r="B269" s="151" t="s">
        <v>22</v>
      </c>
      <c r="C269" s="205"/>
      <c r="D269" s="150"/>
      <c r="E269" s="198">
        <v>20000</v>
      </c>
      <c r="F269" s="195">
        <v>19999.8</v>
      </c>
      <c r="G269" s="199">
        <f t="shared" si="12"/>
        <v>99.998999999999995</v>
      </c>
      <c r="H269" s="200"/>
      <c r="I269" s="206"/>
      <c r="J269" s="191"/>
      <c r="K269" s="191"/>
    </row>
    <row r="270" spans="1:11" s="155" customFormat="1" ht="110.25" x14ac:dyDescent="0.25">
      <c r="A270" s="139">
        <v>62</v>
      </c>
      <c r="B270" s="246" t="s">
        <v>202</v>
      </c>
      <c r="C270" s="203" t="s">
        <v>186</v>
      </c>
      <c r="D270" s="145" t="s">
        <v>290</v>
      </c>
      <c r="E270" s="195">
        <v>5000</v>
      </c>
      <c r="F270" s="195">
        <v>4992.7</v>
      </c>
      <c r="G270" s="196">
        <f t="shared" si="12"/>
        <v>99.853999999999999</v>
      </c>
      <c r="H270" s="197">
        <v>100</v>
      </c>
      <c r="I270" s="206"/>
      <c r="J270" s="149" t="s">
        <v>433</v>
      </c>
      <c r="K270" s="191"/>
    </row>
    <row r="271" spans="1:11" s="155" customFormat="1" ht="19.5" x14ac:dyDescent="0.25">
      <c r="A271" s="189"/>
      <c r="B271" s="151" t="s">
        <v>22</v>
      </c>
      <c r="C271" s="205"/>
      <c r="D271" s="150"/>
      <c r="E271" s="198">
        <v>5000</v>
      </c>
      <c r="F271" s="195">
        <v>4992.7</v>
      </c>
      <c r="G271" s="199">
        <f t="shared" si="12"/>
        <v>99.853999999999999</v>
      </c>
      <c r="H271" s="200"/>
      <c r="I271" s="206"/>
      <c r="J271" s="191"/>
      <c r="K271" s="191"/>
    </row>
    <row r="272" spans="1:11" ht="110.25" x14ac:dyDescent="0.25">
      <c r="A272" s="139">
        <v>63</v>
      </c>
      <c r="B272" s="246" t="s">
        <v>192</v>
      </c>
      <c r="C272" s="203" t="s">
        <v>186</v>
      </c>
      <c r="D272" s="145" t="s">
        <v>175</v>
      </c>
      <c r="E272" s="195">
        <v>20000</v>
      </c>
      <c r="F272" s="195">
        <v>19972.400000000001</v>
      </c>
      <c r="G272" s="196">
        <f t="shared" si="12"/>
        <v>99.862000000000009</v>
      </c>
      <c r="H272" s="197">
        <v>100</v>
      </c>
      <c r="I272" s="246"/>
      <c r="J272" s="246" t="s">
        <v>380</v>
      </c>
      <c r="K272" s="143"/>
    </row>
    <row r="273" spans="1:11" s="155" customFormat="1" ht="19.5" x14ac:dyDescent="0.25">
      <c r="A273" s="189"/>
      <c r="B273" s="151" t="s">
        <v>22</v>
      </c>
      <c r="C273" s="205"/>
      <c r="D273" s="150"/>
      <c r="E273" s="198">
        <v>20000</v>
      </c>
      <c r="F273" s="198">
        <v>19972.400000000001</v>
      </c>
      <c r="G273" s="199">
        <f t="shared" si="12"/>
        <v>99.862000000000009</v>
      </c>
      <c r="H273" s="200"/>
      <c r="I273" s="206"/>
      <c r="J273" s="191"/>
      <c r="K273" s="191"/>
    </row>
    <row r="274" spans="1:11" ht="78.75" x14ac:dyDescent="0.25">
      <c r="A274" s="139">
        <v>64</v>
      </c>
      <c r="B274" s="246" t="s">
        <v>194</v>
      </c>
      <c r="C274" s="203" t="s">
        <v>186</v>
      </c>
      <c r="D274" s="145" t="s">
        <v>16</v>
      </c>
      <c r="E274" s="195">
        <v>12000</v>
      </c>
      <c r="F274" s="195">
        <v>11596.4</v>
      </c>
      <c r="G274" s="196">
        <f t="shared" si="12"/>
        <v>96.636666666666656</v>
      </c>
      <c r="H274" s="197">
        <v>100</v>
      </c>
      <c r="I274" s="143"/>
      <c r="J274" s="149" t="s">
        <v>399</v>
      </c>
      <c r="K274" s="143"/>
    </row>
    <row r="275" spans="1:11" s="155" customFormat="1" ht="19.5" x14ac:dyDescent="0.25">
      <c r="A275" s="189"/>
      <c r="B275" s="151" t="s">
        <v>22</v>
      </c>
      <c r="C275" s="205"/>
      <c r="D275" s="150"/>
      <c r="E275" s="198">
        <v>12000</v>
      </c>
      <c r="F275" s="198">
        <v>11596.4</v>
      </c>
      <c r="G275" s="199">
        <f t="shared" si="12"/>
        <v>96.636666666666656</v>
      </c>
      <c r="H275" s="200"/>
      <c r="I275" s="191"/>
      <c r="J275" s="191"/>
      <c r="K275" s="191"/>
    </row>
    <row r="276" spans="1:11" ht="63" x14ac:dyDescent="0.25">
      <c r="A276" s="139">
        <v>65</v>
      </c>
      <c r="B276" s="246" t="s">
        <v>195</v>
      </c>
      <c r="C276" s="203" t="s">
        <v>186</v>
      </c>
      <c r="D276" s="145" t="s">
        <v>16</v>
      </c>
      <c r="E276" s="195">
        <v>5000</v>
      </c>
      <c r="F276" s="195">
        <v>5000</v>
      </c>
      <c r="G276" s="196">
        <f t="shared" si="12"/>
        <v>100</v>
      </c>
      <c r="H276" s="197">
        <v>100</v>
      </c>
      <c r="I276" s="143"/>
      <c r="J276" s="149" t="s">
        <v>399</v>
      </c>
      <c r="K276" s="143"/>
    </row>
    <row r="277" spans="1:11" s="155" customFormat="1" ht="19.5" x14ac:dyDescent="0.25">
      <c r="A277" s="189"/>
      <c r="B277" s="151" t="s">
        <v>22</v>
      </c>
      <c r="C277" s="205"/>
      <c r="D277" s="150"/>
      <c r="E277" s="198">
        <v>5000</v>
      </c>
      <c r="F277" s="198">
        <v>5000</v>
      </c>
      <c r="G277" s="199">
        <f t="shared" si="12"/>
        <v>100</v>
      </c>
      <c r="H277" s="200"/>
      <c r="I277" s="191"/>
      <c r="J277" s="191"/>
      <c r="K277" s="191"/>
    </row>
    <row r="278" spans="1:11" ht="110.25" x14ac:dyDescent="0.25">
      <c r="A278" s="139">
        <v>66</v>
      </c>
      <c r="B278" s="246" t="s">
        <v>196</v>
      </c>
      <c r="C278" s="203" t="s">
        <v>186</v>
      </c>
      <c r="D278" s="145" t="s">
        <v>16</v>
      </c>
      <c r="E278" s="195">
        <v>3000</v>
      </c>
      <c r="F278" s="195">
        <v>2983</v>
      </c>
      <c r="G278" s="196">
        <f t="shared" si="12"/>
        <v>99.433333333333323</v>
      </c>
      <c r="H278" s="197">
        <v>100</v>
      </c>
      <c r="I278" s="194"/>
      <c r="J278" s="149" t="s">
        <v>399</v>
      </c>
      <c r="K278" s="143"/>
    </row>
    <row r="279" spans="1:11" s="155" customFormat="1" ht="19.5" x14ac:dyDescent="0.25">
      <c r="A279" s="189"/>
      <c r="B279" s="151" t="s">
        <v>22</v>
      </c>
      <c r="C279" s="205"/>
      <c r="D279" s="150"/>
      <c r="E279" s="198">
        <v>3000</v>
      </c>
      <c r="F279" s="198">
        <v>2983</v>
      </c>
      <c r="G279" s="199">
        <f t="shared" si="12"/>
        <v>99.433333333333323</v>
      </c>
      <c r="H279" s="200"/>
      <c r="I279" s="191"/>
      <c r="J279" s="191"/>
      <c r="K279" s="191"/>
    </row>
    <row r="280" spans="1:11" ht="94.5" x14ac:dyDescent="0.25">
      <c r="A280" s="139">
        <v>67</v>
      </c>
      <c r="B280" s="246" t="s">
        <v>187</v>
      </c>
      <c r="C280" s="203" t="s">
        <v>197</v>
      </c>
      <c r="D280" s="145" t="s">
        <v>16</v>
      </c>
      <c r="E280" s="195">
        <v>30950</v>
      </c>
      <c r="F280" s="195">
        <v>30950</v>
      </c>
      <c r="G280" s="196">
        <f t="shared" si="12"/>
        <v>100</v>
      </c>
      <c r="H280" s="197">
        <v>100</v>
      </c>
      <c r="I280" s="143"/>
      <c r="J280" s="149" t="s">
        <v>479</v>
      </c>
      <c r="K280" s="143"/>
    </row>
    <row r="281" spans="1:11" s="155" customFormat="1" ht="19.5" x14ac:dyDescent="0.25">
      <c r="A281" s="189"/>
      <c r="B281" s="151" t="s">
        <v>22</v>
      </c>
      <c r="C281" s="205"/>
      <c r="D281" s="150"/>
      <c r="E281" s="198">
        <v>30950</v>
      </c>
      <c r="F281" s="198">
        <v>30950</v>
      </c>
      <c r="G281" s="199">
        <f t="shared" si="12"/>
        <v>100</v>
      </c>
      <c r="H281" s="200"/>
      <c r="I281" s="191"/>
      <c r="J281" s="191"/>
      <c r="K281" s="191"/>
    </row>
    <row r="282" spans="1:11" ht="126" x14ac:dyDescent="0.25">
      <c r="A282" s="139">
        <v>68</v>
      </c>
      <c r="B282" s="246" t="s">
        <v>188</v>
      </c>
      <c r="C282" s="203" t="s">
        <v>197</v>
      </c>
      <c r="D282" s="145" t="s">
        <v>175</v>
      </c>
      <c r="E282" s="195">
        <v>11050</v>
      </c>
      <c r="F282" s="195">
        <v>10200</v>
      </c>
      <c r="G282" s="196">
        <f t="shared" si="12"/>
        <v>92.307692307692307</v>
      </c>
      <c r="H282" s="197">
        <v>100</v>
      </c>
      <c r="I282" s="143"/>
      <c r="J282" s="246" t="s">
        <v>380</v>
      </c>
      <c r="K282" s="143"/>
    </row>
    <row r="283" spans="1:11" s="155" customFormat="1" ht="19.5" x14ac:dyDescent="0.25">
      <c r="A283" s="189"/>
      <c r="B283" s="151" t="s">
        <v>22</v>
      </c>
      <c r="C283" s="205"/>
      <c r="D283" s="150"/>
      <c r="E283" s="198">
        <v>11050</v>
      </c>
      <c r="F283" s="198">
        <v>10200</v>
      </c>
      <c r="G283" s="199">
        <f t="shared" si="12"/>
        <v>92.307692307692307</v>
      </c>
      <c r="H283" s="200"/>
      <c r="I283" s="191"/>
      <c r="J283" s="191"/>
      <c r="K283" s="191"/>
    </row>
    <row r="284" spans="1:11" ht="94.5" x14ac:dyDescent="0.25">
      <c r="A284" s="139">
        <v>69</v>
      </c>
      <c r="B284" s="246" t="s">
        <v>198</v>
      </c>
      <c r="C284" s="203" t="s">
        <v>197</v>
      </c>
      <c r="D284" s="145" t="s">
        <v>175</v>
      </c>
      <c r="E284" s="195">
        <v>8000</v>
      </c>
      <c r="F284" s="195"/>
      <c r="G284" s="196">
        <f t="shared" si="12"/>
        <v>0</v>
      </c>
      <c r="H284" s="197">
        <v>100</v>
      </c>
      <c r="I284" s="149" t="s">
        <v>480</v>
      </c>
      <c r="J284" s="246" t="s">
        <v>380</v>
      </c>
      <c r="K284" s="143"/>
    </row>
    <row r="285" spans="1:11" s="155" customFormat="1" ht="19.5" x14ac:dyDescent="0.25">
      <c r="A285" s="189"/>
      <c r="B285" s="151" t="s">
        <v>22</v>
      </c>
      <c r="C285" s="205"/>
      <c r="D285" s="150"/>
      <c r="E285" s="198">
        <v>8000</v>
      </c>
      <c r="F285" s="198"/>
      <c r="G285" s="199">
        <f t="shared" si="12"/>
        <v>0</v>
      </c>
      <c r="H285" s="200"/>
      <c r="I285" s="191"/>
      <c r="J285" s="191"/>
      <c r="K285" s="191"/>
    </row>
    <row r="286" spans="1:11" ht="63" x14ac:dyDescent="0.25">
      <c r="A286" s="139">
        <v>70</v>
      </c>
      <c r="B286" s="246" t="s">
        <v>199</v>
      </c>
      <c r="C286" s="203" t="s">
        <v>197</v>
      </c>
      <c r="D286" s="145" t="s">
        <v>16</v>
      </c>
      <c r="E286" s="195">
        <v>10000</v>
      </c>
      <c r="F286" s="195">
        <v>9966.7999999999993</v>
      </c>
      <c r="G286" s="196">
        <f t="shared" si="12"/>
        <v>99.667999999999992</v>
      </c>
      <c r="H286" s="197">
        <v>100</v>
      </c>
      <c r="I286" s="143"/>
      <c r="J286" s="149" t="s">
        <v>399</v>
      </c>
      <c r="K286" s="143"/>
    </row>
    <row r="287" spans="1:11" s="155" customFormat="1" ht="19.5" x14ac:dyDescent="0.25">
      <c r="A287" s="189"/>
      <c r="B287" s="151" t="s">
        <v>22</v>
      </c>
      <c r="C287" s="205"/>
      <c r="D287" s="150"/>
      <c r="E287" s="198">
        <v>10000</v>
      </c>
      <c r="F287" s="198">
        <v>9966.7999999999993</v>
      </c>
      <c r="G287" s="199">
        <f t="shared" ref="G287:G335" si="13">F287/E287*100</f>
        <v>99.667999999999992</v>
      </c>
      <c r="H287" s="200"/>
      <c r="I287" s="191"/>
      <c r="J287" s="191"/>
      <c r="K287" s="191"/>
    </row>
    <row r="288" spans="1:11" ht="126" x14ac:dyDescent="0.25">
      <c r="A288" s="139">
        <v>71</v>
      </c>
      <c r="B288" s="246" t="s">
        <v>200</v>
      </c>
      <c r="C288" s="203" t="s">
        <v>197</v>
      </c>
      <c r="D288" s="145" t="s">
        <v>16</v>
      </c>
      <c r="E288" s="195">
        <v>10000</v>
      </c>
      <c r="F288" s="195">
        <v>9123.09</v>
      </c>
      <c r="G288" s="196">
        <f t="shared" si="13"/>
        <v>91.230900000000005</v>
      </c>
      <c r="H288" s="197">
        <v>100</v>
      </c>
      <c r="I288" s="246"/>
      <c r="J288" s="149" t="s">
        <v>399</v>
      </c>
      <c r="K288" s="143"/>
    </row>
    <row r="289" spans="1:11" s="155" customFormat="1" ht="19.5" x14ac:dyDescent="0.25">
      <c r="A289" s="189"/>
      <c r="B289" s="151" t="s">
        <v>22</v>
      </c>
      <c r="C289" s="205"/>
      <c r="D289" s="150"/>
      <c r="E289" s="198">
        <v>10000</v>
      </c>
      <c r="F289" s="198">
        <v>9123.09</v>
      </c>
      <c r="G289" s="199">
        <f t="shared" si="13"/>
        <v>91.230900000000005</v>
      </c>
      <c r="H289" s="200"/>
      <c r="I289" s="206"/>
      <c r="J289" s="158"/>
      <c r="K289" s="191"/>
    </row>
    <row r="290" spans="1:11" ht="110.25" x14ac:dyDescent="0.25">
      <c r="A290" s="139">
        <v>72</v>
      </c>
      <c r="B290" s="246" t="s">
        <v>192</v>
      </c>
      <c r="C290" s="203" t="s">
        <v>197</v>
      </c>
      <c r="D290" s="145" t="s">
        <v>175</v>
      </c>
      <c r="E290" s="195">
        <v>20000</v>
      </c>
      <c r="F290" s="195">
        <v>19995.34</v>
      </c>
      <c r="G290" s="196">
        <f t="shared" si="13"/>
        <v>99.976699999999994</v>
      </c>
      <c r="H290" s="197">
        <v>100</v>
      </c>
      <c r="I290" s="246"/>
      <c r="J290" s="246" t="s">
        <v>380</v>
      </c>
      <c r="K290" s="143"/>
    </row>
    <row r="291" spans="1:11" s="155" customFormat="1" ht="19.5" x14ac:dyDescent="0.25">
      <c r="A291" s="189"/>
      <c r="B291" s="151" t="s">
        <v>22</v>
      </c>
      <c r="C291" s="205"/>
      <c r="D291" s="150"/>
      <c r="E291" s="198">
        <v>20000</v>
      </c>
      <c r="F291" s="198">
        <v>19995.34</v>
      </c>
      <c r="G291" s="199">
        <f t="shared" si="13"/>
        <v>99.976699999999994</v>
      </c>
      <c r="H291" s="200"/>
      <c r="I291" s="206"/>
      <c r="J291" s="191"/>
      <c r="K291" s="191"/>
    </row>
    <row r="292" spans="1:11" ht="63" x14ac:dyDescent="0.25">
      <c r="A292" s="139">
        <v>73</v>
      </c>
      <c r="B292" s="246" t="s">
        <v>195</v>
      </c>
      <c r="C292" s="203" t="s">
        <v>197</v>
      </c>
      <c r="D292" s="145" t="s">
        <v>16</v>
      </c>
      <c r="E292" s="195">
        <v>5000</v>
      </c>
      <c r="F292" s="195">
        <v>4860.26</v>
      </c>
      <c r="G292" s="196">
        <f t="shared" si="13"/>
        <v>97.205200000000005</v>
      </c>
      <c r="H292" s="197">
        <v>100</v>
      </c>
      <c r="I292" s="246"/>
      <c r="J292" s="149" t="s">
        <v>399</v>
      </c>
      <c r="K292" s="143"/>
    </row>
    <row r="293" spans="1:11" s="155" customFormat="1" ht="19.5" x14ac:dyDescent="0.25">
      <c r="A293" s="189"/>
      <c r="B293" s="151" t="s">
        <v>22</v>
      </c>
      <c r="C293" s="205"/>
      <c r="D293" s="150"/>
      <c r="E293" s="198">
        <v>5000</v>
      </c>
      <c r="F293" s="198">
        <v>4860.26</v>
      </c>
      <c r="G293" s="199">
        <f t="shared" si="13"/>
        <v>97.205200000000005</v>
      </c>
      <c r="H293" s="200"/>
      <c r="I293" s="206"/>
      <c r="J293" s="158"/>
      <c r="K293" s="191"/>
    </row>
    <row r="294" spans="1:11" s="155" customFormat="1" ht="78.75" x14ac:dyDescent="0.25">
      <c r="A294" s="139">
        <v>74</v>
      </c>
      <c r="B294" s="246" t="s">
        <v>291</v>
      </c>
      <c r="C294" s="203" t="s">
        <v>197</v>
      </c>
      <c r="D294" s="145" t="s">
        <v>292</v>
      </c>
      <c r="E294" s="195">
        <v>3000</v>
      </c>
      <c r="F294" s="195">
        <v>5991</v>
      </c>
      <c r="G294" s="196">
        <f t="shared" si="13"/>
        <v>199.70000000000002</v>
      </c>
      <c r="H294" s="197">
        <v>100</v>
      </c>
      <c r="I294" s="206"/>
      <c r="J294" s="149" t="s">
        <v>435</v>
      </c>
      <c r="K294" s="191"/>
    </row>
    <row r="295" spans="1:11" s="155" customFormat="1" ht="19.5" x14ac:dyDescent="0.25">
      <c r="A295" s="189"/>
      <c r="B295" s="151" t="s">
        <v>22</v>
      </c>
      <c r="C295" s="205"/>
      <c r="D295" s="150"/>
      <c r="E295" s="198">
        <v>3000</v>
      </c>
      <c r="F295" s="198">
        <v>5991</v>
      </c>
      <c r="G295" s="199">
        <f t="shared" si="13"/>
        <v>199.70000000000002</v>
      </c>
      <c r="H295" s="200"/>
      <c r="I295" s="206"/>
      <c r="J295" s="158"/>
      <c r="K295" s="191"/>
    </row>
    <row r="296" spans="1:11" ht="110.25" x14ac:dyDescent="0.25">
      <c r="A296" s="139">
        <v>75</v>
      </c>
      <c r="B296" s="246" t="s">
        <v>202</v>
      </c>
      <c r="C296" s="203" t="s">
        <v>21</v>
      </c>
      <c r="D296" s="145" t="s">
        <v>445</v>
      </c>
      <c r="E296" s="195">
        <v>3000</v>
      </c>
      <c r="F296" s="195">
        <v>2970</v>
      </c>
      <c r="G296" s="196">
        <f t="shared" si="13"/>
        <v>99</v>
      </c>
      <c r="H296" s="197">
        <v>100</v>
      </c>
      <c r="I296" s="164"/>
      <c r="J296" s="149" t="s">
        <v>399</v>
      </c>
      <c r="K296" s="143"/>
    </row>
    <row r="297" spans="1:11" s="155" customFormat="1" x14ac:dyDescent="0.25">
      <c r="A297" s="189"/>
      <c r="B297" s="151" t="s">
        <v>22</v>
      </c>
      <c r="C297" s="205"/>
      <c r="D297" s="150"/>
      <c r="E297" s="198">
        <v>3000</v>
      </c>
      <c r="F297" s="198">
        <v>2970</v>
      </c>
      <c r="G297" s="196">
        <f t="shared" si="13"/>
        <v>99</v>
      </c>
      <c r="H297" s="200"/>
      <c r="I297" s="206"/>
      <c r="J297" s="207"/>
      <c r="K297" s="207"/>
    </row>
    <row r="298" spans="1:11" ht="126" x14ac:dyDescent="0.25">
      <c r="A298" s="139">
        <v>76</v>
      </c>
      <c r="B298" s="246" t="s">
        <v>188</v>
      </c>
      <c r="C298" s="203" t="s">
        <v>204</v>
      </c>
      <c r="D298" s="145" t="s">
        <v>293</v>
      </c>
      <c r="E298" s="195">
        <v>10000</v>
      </c>
      <c r="F298" s="195">
        <v>9600</v>
      </c>
      <c r="G298" s="196">
        <f t="shared" si="13"/>
        <v>96</v>
      </c>
      <c r="H298" s="197">
        <v>100</v>
      </c>
      <c r="I298" s="246"/>
      <c r="J298" s="149" t="s">
        <v>435</v>
      </c>
      <c r="K298" s="246"/>
    </row>
    <row r="299" spans="1:11" s="155" customFormat="1" ht="19.5" x14ac:dyDescent="0.25">
      <c r="A299" s="189"/>
      <c r="B299" s="151" t="s">
        <v>22</v>
      </c>
      <c r="C299" s="205"/>
      <c r="D299" s="150"/>
      <c r="E299" s="198">
        <v>10000</v>
      </c>
      <c r="F299" s="198">
        <v>9600</v>
      </c>
      <c r="G299" s="199">
        <f t="shared" si="13"/>
        <v>96</v>
      </c>
      <c r="H299" s="200"/>
      <c r="I299" s="206"/>
      <c r="J299" s="206"/>
      <c r="K299" s="191"/>
    </row>
    <row r="300" spans="1:11" ht="63" x14ac:dyDescent="0.25">
      <c r="A300" s="139">
        <v>77</v>
      </c>
      <c r="B300" s="246" t="s">
        <v>205</v>
      </c>
      <c r="C300" s="203" t="s">
        <v>204</v>
      </c>
      <c r="D300" s="145" t="s">
        <v>57</v>
      </c>
      <c r="E300" s="195">
        <v>10000</v>
      </c>
      <c r="F300" s="195">
        <v>10000</v>
      </c>
      <c r="G300" s="196">
        <f t="shared" si="13"/>
        <v>100</v>
      </c>
      <c r="H300" s="197">
        <v>100</v>
      </c>
      <c r="I300" s="246"/>
      <c r="J300" s="149" t="s">
        <v>449</v>
      </c>
      <c r="K300" s="246"/>
    </row>
    <row r="301" spans="1:11" s="155" customFormat="1" ht="19.5" x14ac:dyDescent="0.25">
      <c r="A301" s="189"/>
      <c r="B301" s="151" t="s">
        <v>22</v>
      </c>
      <c r="C301" s="205"/>
      <c r="D301" s="150"/>
      <c r="E301" s="198">
        <v>10000</v>
      </c>
      <c r="F301" s="198">
        <v>10000</v>
      </c>
      <c r="G301" s="199">
        <f t="shared" si="13"/>
        <v>100</v>
      </c>
      <c r="H301" s="200"/>
      <c r="I301" s="206"/>
      <c r="J301" s="206"/>
      <c r="K301" s="191"/>
    </row>
    <row r="302" spans="1:11" ht="94.5" x14ac:dyDescent="0.25">
      <c r="A302" s="139">
        <v>78</v>
      </c>
      <c r="B302" s="246" t="s">
        <v>201</v>
      </c>
      <c r="C302" s="203" t="s">
        <v>204</v>
      </c>
      <c r="D302" s="145" t="s">
        <v>16</v>
      </c>
      <c r="E302" s="195">
        <v>10000</v>
      </c>
      <c r="F302" s="195">
        <v>9912.69</v>
      </c>
      <c r="G302" s="196">
        <f t="shared" si="13"/>
        <v>99.126900000000006</v>
      </c>
      <c r="H302" s="197">
        <v>100</v>
      </c>
      <c r="I302" s="164"/>
      <c r="J302" s="149" t="s">
        <v>399</v>
      </c>
      <c r="K302" s="143"/>
    </row>
    <row r="303" spans="1:11" s="155" customFormat="1" ht="19.5" x14ac:dyDescent="0.25">
      <c r="A303" s="189"/>
      <c r="B303" s="151" t="s">
        <v>22</v>
      </c>
      <c r="C303" s="205"/>
      <c r="D303" s="150"/>
      <c r="E303" s="198">
        <v>10000</v>
      </c>
      <c r="F303" s="198">
        <v>9912.69</v>
      </c>
      <c r="G303" s="199">
        <f t="shared" si="13"/>
        <v>99.126900000000006</v>
      </c>
      <c r="H303" s="200"/>
      <c r="I303" s="206"/>
      <c r="J303" s="206"/>
      <c r="K303" s="191"/>
    </row>
    <row r="304" spans="1:11" ht="126" x14ac:dyDescent="0.25">
      <c r="A304" s="139">
        <v>79</v>
      </c>
      <c r="B304" s="246" t="s">
        <v>200</v>
      </c>
      <c r="C304" s="203" t="s">
        <v>204</v>
      </c>
      <c r="D304" s="145" t="s">
        <v>16</v>
      </c>
      <c r="E304" s="195">
        <v>5000</v>
      </c>
      <c r="F304" s="195">
        <v>5000</v>
      </c>
      <c r="G304" s="196">
        <f t="shared" si="13"/>
        <v>100</v>
      </c>
      <c r="H304" s="197">
        <v>100</v>
      </c>
      <c r="I304" s="246"/>
      <c r="J304" s="149" t="s">
        <v>399</v>
      </c>
      <c r="K304" s="246"/>
    </row>
    <row r="305" spans="1:11" s="155" customFormat="1" ht="19.5" x14ac:dyDescent="0.25">
      <c r="A305" s="189"/>
      <c r="B305" s="151" t="s">
        <v>22</v>
      </c>
      <c r="C305" s="205"/>
      <c r="D305" s="150"/>
      <c r="E305" s="198">
        <v>5000</v>
      </c>
      <c r="F305" s="198">
        <v>5000</v>
      </c>
      <c r="G305" s="199">
        <f t="shared" si="13"/>
        <v>100</v>
      </c>
      <c r="H305" s="200"/>
      <c r="I305" s="206"/>
      <c r="J305" s="158"/>
      <c r="K305" s="191"/>
    </row>
    <row r="306" spans="1:11" s="155" customFormat="1" ht="63" x14ac:dyDescent="0.25">
      <c r="A306" s="139">
        <v>80</v>
      </c>
      <c r="B306" s="246" t="s">
        <v>294</v>
      </c>
      <c r="C306" s="203" t="s">
        <v>204</v>
      </c>
      <c r="D306" s="145" t="s">
        <v>280</v>
      </c>
      <c r="E306" s="195">
        <v>2000</v>
      </c>
      <c r="F306" s="195">
        <v>2000</v>
      </c>
      <c r="G306" s="196">
        <f t="shared" si="13"/>
        <v>100</v>
      </c>
      <c r="H306" s="197">
        <v>100</v>
      </c>
      <c r="I306" s="206"/>
      <c r="J306" s="149" t="s">
        <v>399</v>
      </c>
      <c r="K306" s="191"/>
    </row>
    <row r="307" spans="1:11" s="155" customFormat="1" ht="19.5" x14ac:dyDescent="0.25">
      <c r="A307" s="189"/>
      <c r="B307" s="151" t="s">
        <v>22</v>
      </c>
      <c r="C307" s="205"/>
      <c r="D307" s="150"/>
      <c r="E307" s="198">
        <v>2000</v>
      </c>
      <c r="F307" s="198">
        <v>2000</v>
      </c>
      <c r="G307" s="199">
        <f t="shared" si="13"/>
        <v>100</v>
      </c>
      <c r="H307" s="200"/>
      <c r="I307" s="206"/>
      <c r="J307" s="158"/>
      <c r="K307" s="191"/>
    </row>
    <row r="308" spans="1:11" ht="78.75" x14ac:dyDescent="0.25">
      <c r="A308" s="139">
        <v>81</v>
      </c>
      <c r="B308" s="246" t="s">
        <v>194</v>
      </c>
      <c r="C308" s="203" t="s">
        <v>204</v>
      </c>
      <c r="D308" s="145" t="s">
        <v>16</v>
      </c>
      <c r="E308" s="195">
        <v>10000</v>
      </c>
      <c r="F308" s="195">
        <v>9744.7999999999993</v>
      </c>
      <c r="G308" s="196">
        <f t="shared" si="13"/>
        <v>97.447999999999993</v>
      </c>
      <c r="H308" s="197">
        <v>100</v>
      </c>
      <c r="I308" s="246"/>
      <c r="J308" s="149" t="s">
        <v>399</v>
      </c>
      <c r="K308" s="246"/>
    </row>
    <row r="309" spans="1:11" s="155" customFormat="1" ht="19.5" x14ac:dyDescent="0.25">
      <c r="A309" s="189"/>
      <c r="B309" s="151" t="s">
        <v>22</v>
      </c>
      <c r="C309" s="205"/>
      <c r="D309" s="150"/>
      <c r="E309" s="198">
        <v>10000</v>
      </c>
      <c r="F309" s="198">
        <v>9744.7999999999993</v>
      </c>
      <c r="G309" s="199">
        <f t="shared" si="13"/>
        <v>97.447999999999993</v>
      </c>
      <c r="H309" s="200"/>
      <c r="I309" s="206"/>
      <c r="J309" s="206"/>
      <c r="K309" s="191"/>
    </row>
    <row r="310" spans="1:11" ht="94.5" x14ac:dyDescent="0.25">
      <c r="A310" s="139">
        <v>82</v>
      </c>
      <c r="B310" s="246" t="s">
        <v>203</v>
      </c>
      <c r="C310" s="203" t="s">
        <v>204</v>
      </c>
      <c r="D310" s="145" t="s">
        <v>175</v>
      </c>
      <c r="E310" s="195">
        <v>3000</v>
      </c>
      <c r="F310" s="195">
        <v>2997.2</v>
      </c>
      <c r="G310" s="196">
        <f t="shared" si="13"/>
        <v>99.906666666666666</v>
      </c>
      <c r="H310" s="197">
        <v>100</v>
      </c>
      <c r="I310" s="164"/>
      <c r="J310" s="246" t="s">
        <v>380</v>
      </c>
      <c r="K310" s="143"/>
    </row>
    <row r="311" spans="1:11" s="155" customFormat="1" ht="19.5" x14ac:dyDescent="0.25">
      <c r="A311" s="189"/>
      <c r="B311" s="151" t="s">
        <v>22</v>
      </c>
      <c r="C311" s="205"/>
      <c r="D311" s="150"/>
      <c r="E311" s="198">
        <v>3000</v>
      </c>
      <c r="F311" s="198">
        <v>2997.2</v>
      </c>
      <c r="G311" s="199">
        <f t="shared" si="13"/>
        <v>99.906666666666666</v>
      </c>
      <c r="H311" s="200"/>
      <c r="I311" s="206"/>
      <c r="J311" s="206"/>
      <c r="K311" s="191"/>
    </row>
    <row r="312" spans="1:11" ht="94.5" x14ac:dyDescent="0.25">
      <c r="A312" s="139">
        <v>83</v>
      </c>
      <c r="B312" s="246" t="s">
        <v>187</v>
      </c>
      <c r="C312" s="203" t="s">
        <v>206</v>
      </c>
      <c r="D312" s="145" t="s">
        <v>16</v>
      </c>
      <c r="E312" s="195">
        <v>20000</v>
      </c>
      <c r="F312" s="195">
        <v>19000</v>
      </c>
      <c r="G312" s="196">
        <f t="shared" si="13"/>
        <v>95</v>
      </c>
      <c r="H312" s="197">
        <v>100</v>
      </c>
      <c r="I312" s="246"/>
      <c r="J312" s="149" t="s">
        <v>399</v>
      </c>
      <c r="K312" s="246"/>
    </row>
    <row r="313" spans="1:11" s="155" customFormat="1" ht="19.5" x14ac:dyDescent="0.25">
      <c r="A313" s="189"/>
      <c r="B313" s="151" t="s">
        <v>22</v>
      </c>
      <c r="C313" s="205"/>
      <c r="D313" s="150"/>
      <c r="E313" s="198">
        <v>20000</v>
      </c>
      <c r="F313" s="198">
        <v>19000</v>
      </c>
      <c r="G313" s="199">
        <f t="shared" si="13"/>
        <v>95</v>
      </c>
      <c r="H313" s="200"/>
      <c r="I313" s="206"/>
      <c r="J313" s="191"/>
      <c r="K313" s="191"/>
    </row>
    <row r="314" spans="1:11" ht="126" x14ac:dyDescent="0.25">
      <c r="A314" s="139">
        <v>84</v>
      </c>
      <c r="B314" s="246" t="s">
        <v>188</v>
      </c>
      <c r="C314" s="203" t="s">
        <v>206</v>
      </c>
      <c r="D314" s="145" t="s">
        <v>177</v>
      </c>
      <c r="E314" s="195">
        <v>10000</v>
      </c>
      <c r="F314" s="195">
        <v>9940</v>
      </c>
      <c r="G314" s="196">
        <f t="shared" si="13"/>
        <v>99.4</v>
      </c>
      <c r="H314" s="197">
        <v>100</v>
      </c>
      <c r="I314" s="246"/>
      <c r="J314" s="149" t="s">
        <v>478</v>
      </c>
      <c r="K314" s="246"/>
    </row>
    <row r="315" spans="1:11" s="155" customFormat="1" ht="19.5" x14ac:dyDescent="0.25">
      <c r="A315" s="189"/>
      <c r="B315" s="151" t="s">
        <v>22</v>
      </c>
      <c r="C315" s="205"/>
      <c r="D315" s="150"/>
      <c r="E315" s="198">
        <v>10000</v>
      </c>
      <c r="F315" s="198">
        <v>9940</v>
      </c>
      <c r="G315" s="199">
        <f t="shared" si="13"/>
        <v>99.4</v>
      </c>
      <c r="H315" s="200"/>
      <c r="I315" s="206"/>
      <c r="J315" s="191"/>
      <c r="K315" s="191"/>
    </row>
    <row r="316" spans="1:11" s="155" customFormat="1" ht="63" x14ac:dyDescent="0.25">
      <c r="A316" s="139">
        <v>85</v>
      </c>
      <c r="B316" s="246" t="s">
        <v>481</v>
      </c>
      <c r="C316" s="203" t="s">
        <v>206</v>
      </c>
      <c r="D316" s="145" t="s">
        <v>482</v>
      </c>
      <c r="E316" s="195">
        <v>5000</v>
      </c>
      <c r="F316" s="195">
        <v>4900</v>
      </c>
      <c r="G316" s="196">
        <f t="shared" si="13"/>
        <v>98</v>
      </c>
      <c r="H316" s="197">
        <v>100</v>
      </c>
      <c r="I316" s="206"/>
      <c r="J316" s="149" t="s">
        <v>483</v>
      </c>
      <c r="K316" s="191"/>
    </row>
    <row r="317" spans="1:11" s="155" customFormat="1" ht="19.5" x14ac:dyDescent="0.25">
      <c r="A317" s="189"/>
      <c r="B317" s="151" t="s">
        <v>22</v>
      </c>
      <c r="C317" s="205"/>
      <c r="D317" s="150"/>
      <c r="E317" s="198">
        <v>5000</v>
      </c>
      <c r="F317" s="198">
        <v>4900</v>
      </c>
      <c r="G317" s="199">
        <f t="shared" si="13"/>
        <v>98</v>
      </c>
      <c r="H317" s="200"/>
      <c r="I317" s="206"/>
      <c r="J317" s="191"/>
      <c r="K317" s="191"/>
    </row>
    <row r="318" spans="1:11" ht="94.5" x14ac:dyDescent="0.25">
      <c r="A318" s="139">
        <v>86</v>
      </c>
      <c r="B318" s="246" t="s">
        <v>201</v>
      </c>
      <c r="C318" s="203" t="s">
        <v>206</v>
      </c>
      <c r="D318" s="145" t="s">
        <v>16</v>
      </c>
      <c r="E318" s="195">
        <v>10000</v>
      </c>
      <c r="F318" s="195">
        <v>10000</v>
      </c>
      <c r="G318" s="196">
        <f t="shared" si="13"/>
        <v>100</v>
      </c>
      <c r="H318" s="197">
        <v>100</v>
      </c>
      <c r="I318" s="246"/>
      <c r="J318" s="149" t="s">
        <v>399</v>
      </c>
      <c r="K318" s="246"/>
    </row>
    <row r="319" spans="1:11" s="155" customFormat="1" ht="19.5" x14ac:dyDescent="0.25">
      <c r="A319" s="189"/>
      <c r="B319" s="151" t="s">
        <v>22</v>
      </c>
      <c r="C319" s="205"/>
      <c r="D319" s="150"/>
      <c r="E319" s="198">
        <v>10000</v>
      </c>
      <c r="F319" s="198">
        <v>10000</v>
      </c>
      <c r="G319" s="199">
        <f t="shared" si="13"/>
        <v>100</v>
      </c>
      <c r="H319" s="200"/>
      <c r="I319" s="206"/>
      <c r="J319" s="191"/>
      <c r="K319" s="191"/>
    </row>
    <row r="320" spans="1:11" ht="126" x14ac:dyDescent="0.25">
      <c r="A320" s="139">
        <v>87</v>
      </c>
      <c r="B320" s="246" t="s">
        <v>200</v>
      </c>
      <c r="C320" s="203" t="s">
        <v>206</v>
      </c>
      <c r="D320" s="145" t="s">
        <v>16</v>
      </c>
      <c r="E320" s="195">
        <v>5000</v>
      </c>
      <c r="F320" s="195">
        <v>5000</v>
      </c>
      <c r="G320" s="196">
        <f t="shared" si="13"/>
        <v>100</v>
      </c>
      <c r="H320" s="197">
        <v>100</v>
      </c>
      <c r="I320" s="246"/>
      <c r="J320" s="149" t="s">
        <v>399</v>
      </c>
      <c r="K320" s="143"/>
    </row>
    <row r="321" spans="1:11" s="155" customFormat="1" ht="19.5" x14ac:dyDescent="0.25">
      <c r="A321" s="189"/>
      <c r="B321" s="151" t="s">
        <v>22</v>
      </c>
      <c r="C321" s="205"/>
      <c r="D321" s="150"/>
      <c r="E321" s="198">
        <v>5000</v>
      </c>
      <c r="F321" s="198">
        <v>5000</v>
      </c>
      <c r="G321" s="199">
        <f t="shared" si="13"/>
        <v>100</v>
      </c>
      <c r="H321" s="200"/>
      <c r="I321" s="206"/>
      <c r="J321" s="191"/>
      <c r="K321" s="191"/>
    </row>
    <row r="322" spans="1:11" s="155" customFormat="1" ht="110.25" x14ac:dyDescent="0.25">
      <c r="A322" s="139">
        <v>88</v>
      </c>
      <c r="B322" s="246" t="s">
        <v>484</v>
      </c>
      <c r="C322" s="203" t="s">
        <v>206</v>
      </c>
      <c r="D322" s="145" t="s">
        <v>290</v>
      </c>
      <c r="E322" s="195">
        <v>25000</v>
      </c>
      <c r="F322" s="195">
        <v>24921.360000000001</v>
      </c>
      <c r="G322" s="196">
        <f t="shared" si="13"/>
        <v>99.68544</v>
      </c>
      <c r="H322" s="197">
        <v>100</v>
      </c>
      <c r="I322" s="206"/>
      <c r="J322" s="246" t="s">
        <v>380</v>
      </c>
      <c r="K322" s="191"/>
    </row>
    <row r="323" spans="1:11" s="155" customFormat="1" ht="19.5" x14ac:dyDescent="0.25">
      <c r="A323" s="189"/>
      <c r="B323" s="151" t="s">
        <v>22</v>
      </c>
      <c r="C323" s="205"/>
      <c r="D323" s="150"/>
      <c r="E323" s="198">
        <v>25000</v>
      </c>
      <c r="F323" s="198">
        <v>24921.360000000001</v>
      </c>
      <c r="G323" s="199">
        <f t="shared" si="13"/>
        <v>99.68544</v>
      </c>
      <c r="H323" s="200"/>
      <c r="I323" s="206"/>
      <c r="J323" s="208"/>
      <c r="K323" s="208"/>
    </row>
    <row r="324" spans="1:11" ht="94.5" x14ac:dyDescent="0.25">
      <c r="A324" s="139">
        <v>89</v>
      </c>
      <c r="B324" s="246" t="s">
        <v>203</v>
      </c>
      <c r="C324" s="203" t="s">
        <v>206</v>
      </c>
      <c r="D324" s="145" t="s">
        <v>280</v>
      </c>
      <c r="E324" s="195">
        <v>2500</v>
      </c>
      <c r="F324" s="195">
        <v>2492.4</v>
      </c>
      <c r="G324" s="196">
        <f t="shared" si="13"/>
        <v>99.696000000000012</v>
      </c>
      <c r="H324" s="197">
        <v>100</v>
      </c>
      <c r="I324" s="246"/>
      <c r="J324" s="149" t="s">
        <v>399</v>
      </c>
      <c r="K324" s="246"/>
    </row>
    <row r="325" spans="1:11" s="155" customFormat="1" ht="19.5" x14ac:dyDescent="0.25">
      <c r="A325" s="189"/>
      <c r="B325" s="151" t="s">
        <v>22</v>
      </c>
      <c r="C325" s="205"/>
      <c r="D325" s="150"/>
      <c r="E325" s="198">
        <v>2500</v>
      </c>
      <c r="F325" s="198">
        <v>2492.4</v>
      </c>
      <c r="G325" s="199">
        <f t="shared" si="13"/>
        <v>99.696000000000012</v>
      </c>
      <c r="H325" s="200"/>
      <c r="I325" s="206"/>
      <c r="J325" s="191"/>
      <c r="K325" s="191"/>
    </row>
    <row r="326" spans="1:11" s="155" customFormat="1" ht="94.5" x14ac:dyDescent="0.25">
      <c r="A326" s="139">
        <v>90</v>
      </c>
      <c r="B326" s="246" t="s">
        <v>187</v>
      </c>
      <c r="C326" s="203" t="s">
        <v>208</v>
      </c>
      <c r="D326" s="145" t="s">
        <v>485</v>
      </c>
      <c r="E326" s="195">
        <v>34571</v>
      </c>
      <c r="F326" s="195">
        <v>33171</v>
      </c>
      <c r="G326" s="196">
        <f t="shared" si="13"/>
        <v>95.95036302102919</v>
      </c>
      <c r="H326" s="197">
        <v>100</v>
      </c>
      <c r="I326" s="206"/>
      <c r="J326" s="149" t="s">
        <v>399</v>
      </c>
      <c r="K326" s="191"/>
    </row>
    <row r="327" spans="1:11" s="155" customFormat="1" ht="19.5" x14ac:dyDescent="0.25">
      <c r="A327" s="189"/>
      <c r="B327" s="151" t="s">
        <v>22</v>
      </c>
      <c r="C327" s="205"/>
      <c r="D327" s="150"/>
      <c r="E327" s="198">
        <v>34571</v>
      </c>
      <c r="F327" s="198">
        <v>33171</v>
      </c>
      <c r="G327" s="199">
        <f t="shared" si="13"/>
        <v>95.95036302102919</v>
      </c>
      <c r="H327" s="200"/>
      <c r="I327" s="206"/>
      <c r="J327" s="191"/>
      <c r="K327" s="191"/>
    </row>
    <row r="328" spans="1:11" s="155" customFormat="1" ht="110.25" x14ac:dyDescent="0.25">
      <c r="A328" s="139">
        <v>91</v>
      </c>
      <c r="B328" s="246" t="s">
        <v>295</v>
      </c>
      <c r="C328" s="203" t="s">
        <v>208</v>
      </c>
      <c r="D328" s="145" t="s">
        <v>280</v>
      </c>
      <c r="E328" s="195">
        <v>10600</v>
      </c>
      <c r="F328" s="195">
        <v>9800</v>
      </c>
      <c r="G328" s="196">
        <f t="shared" si="13"/>
        <v>92.452830188679243</v>
      </c>
      <c r="H328" s="197">
        <v>100</v>
      </c>
      <c r="I328" s="206"/>
      <c r="J328" s="149" t="s">
        <v>399</v>
      </c>
      <c r="K328" s="191"/>
    </row>
    <row r="329" spans="1:11" s="155" customFormat="1" ht="19.5" x14ac:dyDescent="0.25">
      <c r="A329" s="189"/>
      <c r="B329" s="151" t="s">
        <v>22</v>
      </c>
      <c r="C329" s="205"/>
      <c r="D329" s="150"/>
      <c r="E329" s="198">
        <v>10600</v>
      </c>
      <c r="F329" s="198">
        <v>9800</v>
      </c>
      <c r="G329" s="199">
        <f t="shared" si="13"/>
        <v>92.452830188679243</v>
      </c>
      <c r="H329" s="200"/>
      <c r="I329" s="206"/>
      <c r="J329" s="191"/>
      <c r="K329" s="191"/>
    </row>
    <row r="330" spans="1:11" ht="78.75" x14ac:dyDescent="0.25">
      <c r="A330" s="139">
        <v>92</v>
      </c>
      <c r="B330" s="246" t="s">
        <v>209</v>
      </c>
      <c r="C330" s="203" t="s">
        <v>208</v>
      </c>
      <c r="D330" s="145" t="s">
        <v>16</v>
      </c>
      <c r="E330" s="195">
        <v>4500</v>
      </c>
      <c r="F330" s="195">
        <v>4499.25</v>
      </c>
      <c r="G330" s="196">
        <f t="shared" si="13"/>
        <v>99.983333333333334</v>
      </c>
      <c r="H330" s="197">
        <v>100</v>
      </c>
      <c r="I330" s="246"/>
      <c r="J330" s="149" t="s">
        <v>399</v>
      </c>
      <c r="K330" s="246"/>
    </row>
    <row r="331" spans="1:11" s="155" customFormat="1" ht="19.5" x14ac:dyDescent="0.25">
      <c r="A331" s="189"/>
      <c r="B331" s="151" t="s">
        <v>22</v>
      </c>
      <c r="C331" s="205"/>
      <c r="D331" s="150"/>
      <c r="E331" s="198">
        <v>4500</v>
      </c>
      <c r="F331" s="198">
        <v>4499.25</v>
      </c>
      <c r="G331" s="199">
        <f t="shared" si="13"/>
        <v>99.983333333333334</v>
      </c>
      <c r="H331" s="200"/>
      <c r="I331" s="206"/>
      <c r="J331" s="191"/>
      <c r="K331" s="191"/>
    </row>
    <row r="332" spans="1:11" s="155" customFormat="1" ht="78.75" x14ac:dyDescent="0.25">
      <c r="A332" s="139">
        <v>93</v>
      </c>
      <c r="B332" s="246" t="s">
        <v>408</v>
      </c>
      <c r="C332" s="203" t="s">
        <v>208</v>
      </c>
      <c r="D332" s="145" t="s">
        <v>486</v>
      </c>
      <c r="E332" s="195">
        <v>3000</v>
      </c>
      <c r="F332" s="195">
        <v>3000</v>
      </c>
      <c r="G332" s="196">
        <f t="shared" si="13"/>
        <v>100</v>
      </c>
      <c r="H332" s="197">
        <v>100</v>
      </c>
      <c r="I332" s="206"/>
      <c r="J332" s="149" t="s">
        <v>435</v>
      </c>
      <c r="K332" s="191"/>
    </row>
    <row r="333" spans="1:11" s="155" customFormat="1" ht="19.5" x14ac:dyDescent="0.25">
      <c r="A333" s="189"/>
      <c r="B333" s="151" t="s">
        <v>22</v>
      </c>
      <c r="C333" s="205"/>
      <c r="D333" s="150"/>
      <c r="E333" s="198">
        <v>3000</v>
      </c>
      <c r="F333" s="198">
        <v>3000</v>
      </c>
      <c r="G333" s="199">
        <f t="shared" si="13"/>
        <v>100</v>
      </c>
      <c r="H333" s="200"/>
      <c r="I333" s="206"/>
      <c r="J333" s="191"/>
      <c r="K333" s="191"/>
    </row>
    <row r="334" spans="1:11" s="155" customFormat="1" ht="94.5" x14ac:dyDescent="0.25">
      <c r="A334" s="139">
        <v>94</v>
      </c>
      <c r="B334" s="246" t="s">
        <v>203</v>
      </c>
      <c r="C334" s="203" t="s">
        <v>208</v>
      </c>
      <c r="D334" s="145">
        <v>2018</v>
      </c>
      <c r="E334" s="195">
        <v>2700</v>
      </c>
      <c r="F334" s="195">
        <v>2694.38</v>
      </c>
      <c r="G334" s="196">
        <f t="shared" si="13"/>
        <v>99.79185185185186</v>
      </c>
      <c r="H334" s="197">
        <v>100</v>
      </c>
      <c r="I334" s="206"/>
      <c r="J334" s="246" t="s">
        <v>380</v>
      </c>
      <c r="K334" s="191"/>
    </row>
    <row r="335" spans="1:11" s="155" customFormat="1" ht="19.5" x14ac:dyDescent="0.25">
      <c r="A335" s="189"/>
      <c r="B335" s="151" t="s">
        <v>22</v>
      </c>
      <c r="C335" s="205"/>
      <c r="D335" s="150"/>
      <c r="E335" s="198">
        <v>2700</v>
      </c>
      <c r="F335" s="198">
        <v>2694.38</v>
      </c>
      <c r="G335" s="199">
        <f t="shared" si="13"/>
        <v>99.79185185185186</v>
      </c>
      <c r="H335" s="200"/>
      <c r="I335" s="206"/>
      <c r="J335" s="191"/>
      <c r="K335" s="191"/>
    </row>
    <row r="336" spans="1:11" s="155" customFormat="1" ht="110.25" x14ac:dyDescent="0.25">
      <c r="A336" s="139">
        <v>95</v>
      </c>
      <c r="B336" s="246" t="s">
        <v>487</v>
      </c>
      <c r="C336" s="203" t="s">
        <v>208</v>
      </c>
      <c r="D336" s="145">
        <v>2018</v>
      </c>
      <c r="E336" s="195">
        <v>6000</v>
      </c>
      <c r="F336" s="195">
        <v>0</v>
      </c>
      <c r="G336" s="199"/>
      <c r="H336" s="197">
        <v>100</v>
      </c>
      <c r="I336" s="246" t="s">
        <v>488</v>
      </c>
      <c r="J336" s="246" t="s">
        <v>380</v>
      </c>
      <c r="K336" s="191"/>
    </row>
    <row r="337" spans="1:11" s="155" customFormat="1" ht="19.5" x14ac:dyDescent="0.25">
      <c r="A337" s="189"/>
      <c r="B337" s="151" t="s">
        <v>22</v>
      </c>
      <c r="C337" s="205"/>
      <c r="D337" s="150"/>
      <c r="E337" s="198">
        <v>6000</v>
      </c>
      <c r="F337" s="198">
        <v>0</v>
      </c>
      <c r="G337" s="199"/>
      <c r="H337" s="200"/>
      <c r="I337" s="206"/>
      <c r="J337" s="208"/>
      <c r="K337" s="208"/>
    </row>
    <row r="338" spans="1:11" ht="19.5" x14ac:dyDescent="0.25">
      <c r="A338" s="139"/>
      <c r="B338" s="159" t="s">
        <v>54</v>
      </c>
      <c r="C338" s="203"/>
      <c r="D338" s="145"/>
      <c r="E338" s="209">
        <f>E339+E340</f>
        <v>4482618</v>
      </c>
      <c r="F338" s="209">
        <f>F339+F340</f>
        <v>4370476.54</v>
      </c>
      <c r="G338" s="210">
        <f t="shared" ref="G338:G340" si="14">F338/E338*100</f>
        <v>97.498304339116117</v>
      </c>
      <c r="H338" s="197"/>
      <c r="I338" s="164"/>
      <c r="J338" s="164"/>
      <c r="K338" s="143"/>
    </row>
    <row r="339" spans="1:11" s="155" customFormat="1" ht="19.5" x14ac:dyDescent="0.25">
      <c r="A339" s="189"/>
      <c r="B339" s="151" t="s">
        <v>13</v>
      </c>
      <c r="C339" s="205"/>
      <c r="D339" s="150"/>
      <c r="E339" s="198">
        <f>E191+E193+E195+E197+E199+E201+E203+E205+E207+E212+E214+E216+E218+E234+E236+E238+E240+E242+E244+E246+E248+E260</f>
        <v>4095747</v>
      </c>
      <c r="F339" s="198">
        <f>F191+F193+F195+F197+F199+F201+F203+F205+F207+F212+F214+F216+F218+F234+F236+F238+F240+F242+F244+F246+F248+F260</f>
        <v>4004213.3699999996</v>
      </c>
      <c r="G339" s="199">
        <f t="shared" si="14"/>
        <v>97.765154195315276</v>
      </c>
      <c r="H339" s="200"/>
      <c r="I339" s="211"/>
      <c r="J339" s="206"/>
      <c r="K339" s="191"/>
    </row>
    <row r="340" spans="1:11" s="155" customFormat="1" ht="19.5" x14ac:dyDescent="0.25">
      <c r="A340" s="189"/>
      <c r="B340" s="151" t="s">
        <v>22</v>
      </c>
      <c r="C340" s="205"/>
      <c r="D340" s="150"/>
      <c r="E340" s="198">
        <f>E262+E264+E266+E268+E270+E272+E274+E276+E278+E280+E282+E284+E286+E288+E290+E292+E294+E296+E298+E300+E302+E304+E306+E308+E310+E312+E314+E316+E318+E320+E322+E324+E326+E328+E330+E332+E334+E336</f>
        <v>386871</v>
      </c>
      <c r="F340" s="198">
        <f>F262+F264+F266+F268+F270+F272+F274+F276+F278+F280+F282+F284+F286+F288+F290+F292+F294+F296+F298+F300+F302+F304+F306+F308+F310+F312+F314+F316+F318+F320+F322+F324+F326+F328+F330+F332+F334+F336</f>
        <v>366263.17</v>
      </c>
      <c r="G340" s="199">
        <f t="shared" si="14"/>
        <v>94.673203729408499</v>
      </c>
      <c r="H340" s="200"/>
      <c r="I340" s="206"/>
      <c r="J340" s="206"/>
      <c r="K340" s="191"/>
    </row>
    <row r="341" spans="1:11" ht="16.5" x14ac:dyDescent="0.25">
      <c r="A341" s="550" t="s">
        <v>212</v>
      </c>
      <c r="B341" s="550"/>
      <c r="C341" s="550"/>
      <c r="D341" s="550"/>
      <c r="E341" s="550"/>
      <c r="F341" s="550"/>
      <c r="G341" s="550"/>
      <c r="H341" s="550"/>
      <c r="I341" s="550"/>
      <c r="J341" s="550"/>
      <c r="K341" s="550"/>
    </row>
    <row r="342" spans="1:11" ht="94.5" x14ac:dyDescent="0.25">
      <c r="A342" s="139">
        <v>96</v>
      </c>
      <c r="B342" s="246" t="s">
        <v>213</v>
      </c>
      <c r="C342" s="203" t="s">
        <v>149</v>
      </c>
      <c r="D342" s="145" t="s">
        <v>16</v>
      </c>
      <c r="E342" s="195">
        <f>E343</f>
        <v>1700</v>
      </c>
      <c r="F342" s="195">
        <f>F343</f>
        <v>1720</v>
      </c>
      <c r="G342" s="196">
        <f>F342/E342*100</f>
        <v>101.17647058823529</v>
      </c>
      <c r="H342" s="197">
        <v>100</v>
      </c>
      <c r="I342" s="164"/>
      <c r="J342" s="149" t="s">
        <v>399</v>
      </c>
      <c r="K342" s="143"/>
    </row>
    <row r="343" spans="1:11" s="155" customFormat="1" ht="19.5" x14ac:dyDescent="0.25">
      <c r="A343" s="189"/>
      <c r="B343" s="151" t="s">
        <v>19</v>
      </c>
      <c r="C343" s="205"/>
      <c r="D343" s="150"/>
      <c r="E343" s="198">
        <f>E346+E345+E347</f>
        <v>1700</v>
      </c>
      <c r="F343" s="198">
        <f>F346+F345+F347</f>
        <v>1720</v>
      </c>
      <c r="G343" s="199">
        <f t="shared" ref="G343:G409" si="15">F343/E343*100</f>
        <v>101.17647058823529</v>
      </c>
      <c r="H343" s="200"/>
      <c r="I343" s="206"/>
      <c r="J343" s="206"/>
      <c r="K343" s="191"/>
    </row>
    <row r="344" spans="1:11" s="155" customFormat="1" ht="19.5" x14ac:dyDescent="0.25">
      <c r="A344" s="189"/>
      <c r="B344" s="246" t="s">
        <v>155</v>
      </c>
      <c r="C344" s="205"/>
      <c r="D344" s="150"/>
      <c r="E344" s="198"/>
      <c r="F344" s="198"/>
      <c r="G344" s="199"/>
      <c r="H344" s="200"/>
      <c r="I344" s="206"/>
      <c r="J344" s="206"/>
      <c r="K344" s="191"/>
    </row>
    <row r="345" spans="1:11" s="155" customFormat="1" ht="19.5" x14ac:dyDescent="0.25">
      <c r="A345" s="189"/>
      <c r="B345" s="246" t="s">
        <v>164</v>
      </c>
      <c r="C345" s="205"/>
      <c r="D345" s="150"/>
      <c r="E345" s="198">
        <v>400</v>
      </c>
      <c r="F345" s="198">
        <v>400</v>
      </c>
      <c r="G345" s="199">
        <f t="shared" si="15"/>
        <v>100</v>
      </c>
      <c r="H345" s="200"/>
      <c r="I345" s="206"/>
      <c r="J345" s="206"/>
      <c r="K345" s="191"/>
    </row>
    <row r="346" spans="1:11" s="155" customFormat="1" ht="19.5" x14ac:dyDescent="0.25">
      <c r="A346" s="189"/>
      <c r="B346" s="246" t="s">
        <v>214</v>
      </c>
      <c r="C346" s="205"/>
      <c r="D346" s="150"/>
      <c r="E346" s="198">
        <v>800</v>
      </c>
      <c r="F346" s="198">
        <v>820</v>
      </c>
      <c r="G346" s="199">
        <f t="shared" si="15"/>
        <v>102.49999999999999</v>
      </c>
      <c r="H346" s="200"/>
      <c r="I346" s="206"/>
      <c r="J346" s="206"/>
      <c r="K346" s="191"/>
    </row>
    <row r="347" spans="1:11" s="155" customFormat="1" ht="19.5" x14ac:dyDescent="0.25">
      <c r="A347" s="189"/>
      <c r="B347" s="246" t="s">
        <v>215</v>
      </c>
      <c r="C347" s="205"/>
      <c r="D347" s="150"/>
      <c r="E347" s="198">
        <v>500</v>
      </c>
      <c r="F347" s="198">
        <v>500</v>
      </c>
      <c r="G347" s="199">
        <f t="shared" si="15"/>
        <v>100</v>
      </c>
      <c r="H347" s="200"/>
      <c r="I347" s="206"/>
      <c r="J347" s="206"/>
      <c r="K347" s="191"/>
    </row>
    <row r="348" spans="1:11" ht="63" x14ac:dyDescent="0.25">
      <c r="A348" s="139">
        <v>97</v>
      </c>
      <c r="B348" s="246" t="s">
        <v>489</v>
      </c>
      <c r="C348" s="203" t="s">
        <v>149</v>
      </c>
      <c r="D348" s="145" t="s">
        <v>16</v>
      </c>
      <c r="E348" s="195">
        <f>E349</f>
        <v>1800</v>
      </c>
      <c r="F348" s="195">
        <f>F349</f>
        <v>1910</v>
      </c>
      <c r="G348" s="196">
        <f t="shared" si="15"/>
        <v>106.11111111111111</v>
      </c>
      <c r="H348" s="197">
        <v>100</v>
      </c>
      <c r="I348" s="164"/>
      <c r="J348" s="149" t="s">
        <v>399</v>
      </c>
      <c r="K348" s="143"/>
    </row>
    <row r="349" spans="1:11" s="155" customFormat="1" ht="19.5" x14ac:dyDescent="0.25">
      <c r="A349" s="189"/>
      <c r="B349" s="151" t="s">
        <v>19</v>
      </c>
      <c r="C349" s="205"/>
      <c r="D349" s="150"/>
      <c r="E349" s="198">
        <f>E352+E351+E353</f>
        <v>1800</v>
      </c>
      <c r="F349" s="198">
        <f>F352+F351+F353</f>
        <v>1910</v>
      </c>
      <c r="G349" s="199">
        <f t="shared" si="15"/>
        <v>106.11111111111111</v>
      </c>
      <c r="H349" s="200"/>
      <c r="I349" s="206"/>
      <c r="J349" s="206"/>
      <c r="K349" s="191"/>
    </row>
    <row r="350" spans="1:11" s="155" customFormat="1" ht="19.5" x14ac:dyDescent="0.25">
      <c r="A350" s="189"/>
      <c r="B350" s="246" t="s">
        <v>155</v>
      </c>
      <c r="C350" s="205"/>
      <c r="D350" s="150"/>
      <c r="E350" s="198"/>
      <c r="F350" s="198"/>
      <c r="G350" s="199"/>
      <c r="H350" s="200"/>
      <c r="I350" s="206"/>
      <c r="J350" s="206"/>
      <c r="K350" s="191"/>
    </row>
    <row r="351" spans="1:11" s="155" customFormat="1" ht="19.5" x14ac:dyDescent="0.25">
      <c r="A351" s="189"/>
      <c r="B351" s="246" t="s">
        <v>164</v>
      </c>
      <c r="C351" s="205"/>
      <c r="D351" s="150"/>
      <c r="E351" s="198">
        <v>400</v>
      </c>
      <c r="F351" s="198">
        <v>400</v>
      </c>
      <c r="G351" s="199">
        <f t="shared" si="15"/>
        <v>100</v>
      </c>
      <c r="H351" s="200"/>
      <c r="I351" s="206"/>
      <c r="J351" s="206"/>
      <c r="K351" s="191"/>
    </row>
    <row r="352" spans="1:11" s="155" customFormat="1" ht="19.5" x14ac:dyDescent="0.25">
      <c r="A352" s="189"/>
      <c r="B352" s="246" t="s">
        <v>214</v>
      </c>
      <c r="C352" s="205"/>
      <c r="D352" s="150"/>
      <c r="E352" s="198">
        <v>800</v>
      </c>
      <c r="F352" s="198">
        <v>910</v>
      </c>
      <c r="G352" s="199">
        <f t="shared" si="15"/>
        <v>113.75</v>
      </c>
      <c r="H352" s="200"/>
      <c r="I352" s="206"/>
      <c r="J352" s="206"/>
      <c r="K352" s="191"/>
    </row>
    <row r="353" spans="1:11" s="155" customFormat="1" ht="19.5" x14ac:dyDescent="0.25">
      <c r="A353" s="189"/>
      <c r="B353" s="246" t="s">
        <v>215</v>
      </c>
      <c r="C353" s="205"/>
      <c r="D353" s="150"/>
      <c r="E353" s="198">
        <v>600</v>
      </c>
      <c r="F353" s="198">
        <v>600</v>
      </c>
      <c r="G353" s="199">
        <f t="shared" si="15"/>
        <v>100</v>
      </c>
      <c r="H353" s="200"/>
      <c r="I353" s="206"/>
      <c r="J353" s="206"/>
      <c r="K353" s="191"/>
    </row>
    <row r="354" spans="1:11" ht="126" x14ac:dyDescent="0.25">
      <c r="A354" s="139">
        <v>98</v>
      </c>
      <c r="B354" s="246" t="s">
        <v>217</v>
      </c>
      <c r="C354" s="203" t="s">
        <v>149</v>
      </c>
      <c r="D354" s="145" t="s">
        <v>16</v>
      </c>
      <c r="E354" s="195">
        <f>E355</f>
        <v>900</v>
      </c>
      <c r="F354" s="195">
        <f>F355</f>
        <v>900</v>
      </c>
      <c r="G354" s="196">
        <f t="shared" si="15"/>
        <v>100</v>
      </c>
      <c r="H354" s="197">
        <v>100</v>
      </c>
      <c r="I354" s="164"/>
      <c r="J354" s="149" t="s">
        <v>399</v>
      </c>
      <c r="K354" s="143"/>
    </row>
    <row r="355" spans="1:11" s="155" customFormat="1" ht="19.5" x14ac:dyDescent="0.25">
      <c r="A355" s="189"/>
      <c r="B355" s="151" t="s">
        <v>19</v>
      </c>
      <c r="C355" s="205"/>
      <c r="D355" s="150"/>
      <c r="E355" s="198">
        <f>E358+E357+E359</f>
        <v>900</v>
      </c>
      <c r="F355" s="198">
        <f>F358+F357+F359</f>
        <v>900</v>
      </c>
      <c r="G355" s="199">
        <f t="shared" si="15"/>
        <v>100</v>
      </c>
      <c r="H355" s="200"/>
      <c r="I355" s="206"/>
      <c r="J355" s="206"/>
      <c r="K355" s="191"/>
    </row>
    <row r="356" spans="1:11" ht="19.5" x14ac:dyDescent="0.25">
      <c r="A356" s="139"/>
      <c r="B356" s="246" t="s">
        <v>155</v>
      </c>
      <c r="C356" s="203"/>
      <c r="D356" s="145"/>
      <c r="E356" s="195"/>
      <c r="F356" s="195"/>
      <c r="G356" s="196"/>
      <c r="H356" s="197"/>
      <c r="I356" s="164"/>
      <c r="J356" s="164"/>
      <c r="K356" s="143"/>
    </row>
    <row r="357" spans="1:11" ht="19.5" x14ac:dyDescent="0.25">
      <c r="A357" s="139"/>
      <c r="B357" s="246" t="s">
        <v>164</v>
      </c>
      <c r="C357" s="203"/>
      <c r="D357" s="145"/>
      <c r="E357" s="195">
        <v>200</v>
      </c>
      <c r="F357" s="195">
        <v>200</v>
      </c>
      <c r="G357" s="196">
        <f t="shared" si="15"/>
        <v>100</v>
      </c>
      <c r="H357" s="197"/>
      <c r="I357" s="164"/>
      <c r="J357" s="164"/>
      <c r="K357" s="143"/>
    </row>
    <row r="358" spans="1:11" ht="19.5" x14ac:dyDescent="0.25">
      <c r="A358" s="139"/>
      <c r="B358" s="246" t="s">
        <v>214</v>
      </c>
      <c r="C358" s="203"/>
      <c r="D358" s="145"/>
      <c r="E358" s="195">
        <v>200</v>
      </c>
      <c r="F358" s="195">
        <v>200</v>
      </c>
      <c r="G358" s="196">
        <f t="shared" si="15"/>
        <v>100</v>
      </c>
      <c r="H358" s="197"/>
      <c r="I358" s="164"/>
      <c r="J358" s="164"/>
      <c r="K358" s="143"/>
    </row>
    <row r="359" spans="1:11" ht="19.5" x14ac:dyDescent="0.25">
      <c r="A359" s="139"/>
      <c r="B359" s="246" t="s">
        <v>215</v>
      </c>
      <c r="C359" s="203"/>
      <c r="D359" s="145"/>
      <c r="E359" s="195">
        <v>500</v>
      </c>
      <c r="F359" s="195">
        <v>500</v>
      </c>
      <c r="G359" s="196">
        <f t="shared" si="15"/>
        <v>100</v>
      </c>
      <c r="H359" s="197"/>
      <c r="I359" s="164"/>
      <c r="J359" s="164"/>
      <c r="K359" s="143"/>
    </row>
    <row r="360" spans="1:11" ht="94.5" x14ac:dyDescent="0.25">
      <c r="A360" s="139">
        <v>99</v>
      </c>
      <c r="B360" s="246" t="s">
        <v>218</v>
      </c>
      <c r="C360" s="203" t="s">
        <v>149</v>
      </c>
      <c r="D360" s="145" t="s">
        <v>16</v>
      </c>
      <c r="E360" s="195">
        <f>E361</f>
        <v>800</v>
      </c>
      <c r="F360" s="195">
        <f>F361</f>
        <v>800</v>
      </c>
      <c r="G360" s="196">
        <f t="shared" si="15"/>
        <v>100</v>
      </c>
      <c r="H360" s="197">
        <v>100</v>
      </c>
      <c r="I360" s="164"/>
      <c r="J360" s="149" t="s">
        <v>399</v>
      </c>
      <c r="K360" s="143"/>
    </row>
    <row r="361" spans="1:11" s="155" customFormat="1" ht="19.5" x14ac:dyDescent="0.25">
      <c r="A361" s="189"/>
      <c r="B361" s="151" t="s">
        <v>19</v>
      </c>
      <c r="C361" s="205"/>
      <c r="D361" s="150"/>
      <c r="E361" s="198">
        <f>E363+E364</f>
        <v>800</v>
      </c>
      <c r="F361" s="198">
        <f>F363+F364</f>
        <v>800</v>
      </c>
      <c r="G361" s="199">
        <f t="shared" si="15"/>
        <v>100</v>
      </c>
      <c r="H361" s="200"/>
      <c r="I361" s="206"/>
      <c r="J361" s="206"/>
      <c r="K361" s="191"/>
    </row>
    <row r="362" spans="1:11" ht="19.5" x14ac:dyDescent="0.25">
      <c r="A362" s="139"/>
      <c r="B362" s="246" t="s">
        <v>155</v>
      </c>
      <c r="C362" s="203"/>
      <c r="D362" s="145"/>
      <c r="E362" s="195"/>
      <c r="F362" s="195"/>
      <c r="G362" s="196"/>
      <c r="H362" s="197"/>
      <c r="I362" s="164"/>
      <c r="J362" s="164"/>
      <c r="K362" s="143"/>
    </row>
    <row r="363" spans="1:11" ht="19.5" x14ac:dyDescent="0.25">
      <c r="A363" s="139"/>
      <c r="B363" s="246" t="s">
        <v>214</v>
      </c>
      <c r="C363" s="203"/>
      <c r="D363" s="145"/>
      <c r="E363" s="195"/>
      <c r="F363" s="195"/>
      <c r="G363" s="196"/>
      <c r="H363" s="197"/>
      <c r="I363" s="164"/>
      <c r="J363" s="164"/>
      <c r="K363" s="143"/>
    </row>
    <row r="364" spans="1:11" ht="19.5" x14ac:dyDescent="0.25">
      <c r="A364" s="139"/>
      <c r="B364" s="246" t="s">
        <v>215</v>
      </c>
      <c r="C364" s="203"/>
      <c r="D364" s="145"/>
      <c r="E364" s="195">
        <v>800</v>
      </c>
      <c r="F364" s="195">
        <v>800</v>
      </c>
      <c r="G364" s="196">
        <f t="shared" si="15"/>
        <v>100</v>
      </c>
      <c r="H364" s="197"/>
      <c r="I364" s="164"/>
      <c r="J364" s="164"/>
      <c r="K364" s="143"/>
    </row>
    <row r="365" spans="1:11" ht="94.5" x14ac:dyDescent="0.25">
      <c r="A365" s="139">
        <v>100</v>
      </c>
      <c r="B365" s="246" t="s">
        <v>219</v>
      </c>
      <c r="C365" s="203" t="s">
        <v>149</v>
      </c>
      <c r="D365" s="145" t="s">
        <v>16</v>
      </c>
      <c r="E365" s="195">
        <f>E366</f>
        <v>900</v>
      </c>
      <c r="F365" s="195">
        <f>F366</f>
        <v>900</v>
      </c>
      <c r="G365" s="196">
        <f t="shared" si="15"/>
        <v>100</v>
      </c>
      <c r="H365" s="197">
        <v>100</v>
      </c>
      <c r="I365" s="164"/>
      <c r="J365" s="149" t="s">
        <v>399</v>
      </c>
      <c r="K365" s="143"/>
    </row>
    <row r="366" spans="1:11" s="155" customFormat="1" ht="19.5" x14ac:dyDescent="0.25">
      <c r="A366" s="189"/>
      <c r="B366" s="151" t="s">
        <v>19</v>
      </c>
      <c r="C366" s="205"/>
      <c r="D366" s="150"/>
      <c r="E366" s="198">
        <f>E368+E369+E370</f>
        <v>900</v>
      </c>
      <c r="F366" s="198">
        <f>F368+F369+F370</f>
        <v>900</v>
      </c>
      <c r="G366" s="199">
        <f t="shared" si="15"/>
        <v>100</v>
      </c>
      <c r="H366" s="200"/>
      <c r="I366" s="206"/>
      <c r="J366" s="206"/>
      <c r="K366" s="191"/>
    </row>
    <row r="367" spans="1:11" ht="19.5" x14ac:dyDescent="0.25">
      <c r="A367" s="139"/>
      <c r="B367" s="246" t="s">
        <v>155</v>
      </c>
      <c r="C367" s="203"/>
      <c r="D367" s="145"/>
      <c r="E367" s="195"/>
      <c r="F367" s="195"/>
      <c r="G367" s="196"/>
      <c r="H367" s="197"/>
      <c r="I367" s="164"/>
      <c r="J367" s="164"/>
      <c r="K367" s="143"/>
    </row>
    <row r="368" spans="1:11" ht="19.5" x14ac:dyDescent="0.25">
      <c r="A368" s="139"/>
      <c r="B368" s="246" t="s">
        <v>164</v>
      </c>
      <c r="C368" s="203"/>
      <c r="D368" s="145"/>
      <c r="E368" s="195">
        <v>200</v>
      </c>
      <c r="F368" s="195">
        <v>200</v>
      </c>
      <c r="G368" s="196">
        <f t="shared" si="15"/>
        <v>100</v>
      </c>
      <c r="H368" s="197"/>
      <c r="I368" s="164"/>
      <c r="J368" s="164"/>
      <c r="K368" s="143"/>
    </row>
    <row r="369" spans="1:11" ht="19.5" x14ac:dyDescent="0.25">
      <c r="A369" s="139"/>
      <c r="B369" s="246" t="s">
        <v>214</v>
      </c>
      <c r="C369" s="203"/>
      <c r="D369" s="145"/>
      <c r="E369" s="195">
        <v>200</v>
      </c>
      <c r="F369" s="195">
        <v>200</v>
      </c>
      <c r="G369" s="196">
        <f t="shared" si="15"/>
        <v>100</v>
      </c>
      <c r="H369" s="197"/>
      <c r="I369" s="164"/>
      <c r="J369" s="164"/>
      <c r="K369" s="143"/>
    </row>
    <row r="370" spans="1:11" ht="19.5" x14ac:dyDescent="0.25">
      <c r="A370" s="139"/>
      <c r="B370" s="246" t="s">
        <v>215</v>
      </c>
      <c r="C370" s="203"/>
      <c r="D370" s="145"/>
      <c r="E370" s="195">
        <v>500</v>
      </c>
      <c r="F370" s="195">
        <v>500</v>
      </c>
      <c r="G370" s="196">
        <f t="shared" si="15"/>
        <v>100</v>
      </c>
      <c r="H370" s="197"/>
      <c r="I370" s="164"/>
      <c r="J370" s="164"/>
      <c r="K370" s="143"/>
    </row>
    <row r="371" spans="1:11" ht="63" x14ac:dyDescent="0.25">
      <c r="A371" s="139">
        <v>101</v>
      </c>
      <c r="B371" s="246" t="s">
        <v>220</v>
      </c>
      <c r="C371" s="203" t="s">
        <v>149</v>
      </c>
      <c r="D371" s="145" t="s">
        <v>16</v>
      </c>
      <c r="E371" s="195">
        <f>E372</f>
        <v>2000</v>
      </c>
      <c r="F371" s="195">
        <f>F372</f>
        <v>1999.92</v>
      </c>
      <c r="G371" s="196">
        <f t="shared" si="15"/>
        <v>99.996000000000009</v>
      </c>
      <c r="H371" s="197">
        <v>100</v>
      </c>
      <c r="I371" s="164"/>
      <c r="J371" s="149" t="s">
        <v>399</v>
      </c>
      <c r="K371" s="143"/>
    </row>
    <row r="372" spans="1:11" s="155" customFormat="1" ht="19.5" x14ac:dyDescent="0.25">
      <c r="A372" s="189"/>
      <c r="B372" s="151" t="s">
        <v>13</v>
      </c>
      <c r="C372" s="205"/>
      <c r="D372" s="150"/>
      <c r="E372" s="198">
        <f>E374+E375+E376</f>
        <v>2000</v>
      </c>
      <c r="F372" s="198">
        <f>F374+F375+F376</f>
        <v>1999.92</v>
      </c>
      <c r="G372" s="199">
        <f t="shared" si="15"/>
        <v>99.996000000000009</v>
      </c>
      <c r="H372" s="200"/>
      <c r="I372" s="206"/>
      <c r="J372" s="206"/>
      <c r="K372" s="191"/>
    </row>
    <row r="373" spans="1:11" ht="19.5" x14ac:dyDescent="0.25">
      <c r="A373" s="139"/>
      <c r="B373" s="246" t="s">
        <v>155</v>
      </c>
      <c r="C373" s="203"/>
      <c r="D373" s="145"/>
      <c r="E373" s="195"/>
      <c r="F373" s="195"/>
      <c r="G373" s="196"/>
      <c r="H373" s="197"/>
      <c r="I373" s="164"/>
      <c r="J373" s="164"/>
      <c r="K373" s="143"/>
    </row>
    <row r="374" spans="1:11" ht="19.5" x14ac:dyDescent="0.25">
      <c r="A374" s="139"/>
      <c r="B374" s="246" t="s">
        <v>164</v>
      </c>
      <c r="C374" s="203"/>
      <c r="D374" s="145"/>
      <c r="E374" s="195"/>
      <c r="F374" s="195"/>
      <c r="G374" s="196">
        <v>0</v>
      </c>
      <c r="H374" s="197"/>
      <c r="I374" s="164"/>
      <c r="J374" s="164"/>
      <c r="K374" s="143"/>
    </row>
    <row r="375" spans="1:11" ht="19.5" x14ac:dyDescent="0.25">
      <c r="A375" s="139"/>
      <c r="B375" s="246" t="s">
        <v>214</v>
      </c>
      <c r="C375" s="203"/>
      <c r="D375" s="145"/>
      <c r="E375" s="195">
        <v>1000</v>
      </c>
      <c r="F375" s="195">
        <v>1000</v>
      </c>
      <c r="G375" s="196">
        <f t="shared" si="15"/>
        <v>100</v>
      </c>
      <c r="H375" s="197"/>
      <c r="I375" s="164"/>
      <c r="J375" s="164"/>
      <c r="K375" s="143"/>
    </row>
    <row r="376" spans="1:11" ht="19.5" x14ac:dyDescent="0.25">
      <c r="A376" s="139"/>
      <c r="B376" s="246" t="s">
        <v>215</v>
      </c>
      <c r="C376" s="203"/>
      <c r="D376" s="145"/>
      <c r="E376" s="195">
        <v>1000</v>
      </c>
      <c r="F376" s="195">
        <v>999.92</v>
      </c>
      <c r="G376" s="196"/>
      <c r="H376" s="197"/>
      <c r="I376" s="164"/>
      <c r="J376" s="164"/>
      <c r="K376" s="143"/>
    </row>
    <row r="377" spans="1:11" ht="63" x14ac:dyDescent="0.25">
      <c r="A377" s="139">
        <v>102</v>
      </c>
      <c r="B377" s="246" t="s">
        <v>221</v>
      </c>
      <c r="C377" s="203" t="s">
        <v>149</v>
      </c>
      <c r="D377" s="145" t="s">
        <v>16</v>
      </c>
      <c r="E377" s="195">
        <f>E378+E379</f>
        <v>30054</v>
      </c>
      <c r="F377" s="195">
        <f>F378+F379</f>
        <v>63813.630000000005</v>
      </c>
      <c r="G377" s="196">
        <f t="shared" si="15"/>
        <v>212.329906168896</v>
      </c>
      <c r="H377" s="197">
        <v>100</v>
      </c>
      <c r="I377" s="164"/>
      <c r="J377" s="149" t="s">
        <v>399</v>
      </c>
      <c r="K377" s="143"/>
    </row>
    <row r="378" spans="1:11" ht="19.5" x14ac:dyDescent="0.25">
      <c r="A378" s="139"/>
      <c r="B378" s="151" t="s">
        <v>13</v>
      </c>
      <c r="C378" s="203"/>
      <c r="D378" s="145"/>
      <c r="E378" s="198">
        <f>E382+E385+E388</f>
        <v>12054</v>
      </c>
      <c r="F378" s="198">
        <f>F382+F385+F388</f>
        <v>12037.83</v>
      </c>
      <c r="G378" s="196"/>
      <c r="H378" s="197"/>
      <c r="I378" s="164"/>
      <c r="J378" s="149"/>
      <c r="K378" s="143"/>
    </row>
    <row r="379" spans="1:11" s="155" customFormat="1" ht="19.5" x14ac:dyDescent="0.25">
      <c r="A379" s="189"/>
      <c r="B379" s="151" t="s">
        <v>19</v>
      </c>
      <c r="C379" s="205"/>
      <c r="D379" s="150"/>
      <c r="E379" s="198">
        <f>E383+E386+E389</f>
        <v>18000</v>
      </c>
      <c r="F379" s="198">
        <f>F383+F386+F389</f>
        <v>51775.8</v>
      </c>
      <c r="G379" s="199">
        <f t="shared" si="15"/>
        <v>287.64333333333332</v>
      </c>
      <c r="H379" s="200"/>
      <c r="I379" s="191"/>
      <c r="J379" s="191"/>
      <c r="K379" s="191"/>
    </row>
    <row r="380" spans="1:11" ht="19.5" x14ac:dyDescent="0.25">
      <c r="A380" s="139"/>
      <c r="B380" s="246" t="s">
        <v>155</v>
      </c>
      <c r="C380" s="203"/>
      <c r="D380" s="145"/>
      <c r="E380" s="195"/>
      <c r="F380" s="195"/>
      <c r="G380" s="196"/>
      <c r="H380" s="197"/>
      <c r="I380" s="143"/>
      <c r="J380" s="143"/>
      <c r="K380" s="143"/>
    </row>
    <row r="381" spans="1:11" ht="19.5" x14ac:dyDescent="0.25">
      <c r="A381" s="139"/>
      <c r="B381" s="246" t="s">
        <v>164</v>
      </c>
      <c r="C381" s="203"/>
      <c r="D381" s="145"/>
      <c r="E381" s="195">
        <f>E382+E383</f>
        <v>4815</v>
      </c>
      <c r="F381" s="195">
        <f>F382+F383</f>
        <v>4809.87</v>
      </c>
      <c r="G381" s="196">
        <f t="shared" si="15"/>
        <v>99.893457943925227</v>
      </c>
      <c r="H381" s="197"/>
      <c r="I381" s="143"/>
      <c r="J381" s="143"/>
      <c r="K381" s="143"/>
    </row>
    <row r="382" spans="1:11" ht="19.5" x14ac:dyDescent="0.25">
      <c r="A382" s="139"/>
      <c r="B382" s="151" t="s">
        <v>13</v>
      </c>
      <c r="C382" s="203"/>
      <c r="D382" s="145"/>
      <c r="E382" s="198">
        <v>3315</v>
      </c>
      <c r="F382" s="195">
        <v>3309.87</v>
      </c>
      <c r="G382" s="196"/>
      <c r="H382" s="197"/>
      <c r="I382" s="143"/>
      <c r="J382" s="143"/>
      <c r="K382" s="143"/>
    </row>
    <row r="383" spans="1:11" ht="19.5" x14ac:dyDescent="0.25">
      <c r="A383" s="139"/>
      <c r="B383" s="151" t="s">
        <v>19</v>
      </c>
      <c r="C383" s="203"/>
      <c r="D383" s="145"/>
      <c r="E383" s="198">
        <v>1500</v>
      </c>
      <c r="F383" s="198">
        <v>1500</v>
      </c>
      <c r="G383" s="196"/>
      <c r="H383" s="197"/>
      <c r="I383" s="143"/>
      <c r="J383" s="143"/>
      <c r="K383" s="143"/>
    </row>
    <row r="384" spans="1:11" ht="19.5" x14ac:dyDescent="0.25">
      <c r="A384" s="139"/>
      <c r="B384" s="246" t="s">
        <v>214</v>
      </c>
      <c r="C384" s="203"/>
      <c r="D384" s="145"/>
      <c r="E384" s="195">
        <f>E385+E386</f>
        <v>19424</v>
      </c>
      <c r="F384" s="195">
        <f>F385+F386</f>
        <v>53188.76</v>
      </c>
      <c r="G384" s="196">
        <f t="shared" si="15"/>
        <v>273.83010708401974</v>
      </c>
      <c r="H384" s="197"/>
      <c r="I384" s="143"/>
      <c r="J384" s="143"/>
      <c r="K384" s="143"/>
    </row>
    <row r="385" spans="1:11" ht="19.5" x14ac:dyDescent="0.25">
      <c r="A385" s="139"/>
      <c r="B385" s="151" t="s">
        <v>13</v>
      </c>
      <c r="C385" s="203"/>
      <c r="D385" s="145"/>
      <c r="E385" s="198">
        <v>7424</v>
      </c>
      <c r="F385" s="195">
        <v>7412.96</v>
      </c>
      <c r="G385" s="196"/>
      <c r="H385" s="197"/>
      <c r="I385" s="143"/>
      <c r="J385" s="143"/>
      <c r="K385" s="143"/>
    </row>
    <row r="386" spans="1:11" ht="19.5" x14ac:dyDescent="0.25">
      <c r="A386" s="139"/>
      <c r="B386" s="151" t="s">
        <v>19</v>
      </c>
      <c r="C386" s="203"/>
      <c r="D386" s="145"/>
      <c r="E386" s="198">
        <v>12000</v>
      </c>
      <c r="F386" s="195">
        <v>45775.8</v>
      </c>
      <c r="G386" s="196"/>
      <c r="H386" s="197"/>
      <c r="I386" s="143"/>
      <c r="J386" s="143"/>
      <c r="K386" s="143"/>
    </row>
    <row r="387" spans="1:11" ht="19.5" x14ac:dyDescent="0.25">
      <c r="A387" s="139"/>
      <c r="B387" s="246" t="s">
        <v>215</v>
      </c>
      <c r="C387" s="203"/>
      <c r="D387" s="145"/>
      <c r="E387" s="195">
        <f>E388+E389</f>
        <v>5815</v>
      </c>
      <c r="F387" s="195">
        <f>F388+F389</f>
        <v>5815</v>
      </c>
      <c r="G387" s="196">
        <f t="shared" si="15"/>
        <v>100</v>
      </c>
      <c r="H387" s="197"/>
      <c r="I387" s="143"/>
      <c r="J387" s="143"/>
      <c r="K387" s="143"/>
    </row>
    <row r="388" spans="1:11" ht="19.5" x14ac:dyDescent="0.25">
      <c r="A388" s="139"/>
      <c r="B388" s="151" t="s">
        <v>13</v>
      </c>
      <c r="C388" s="203"/>
      <c r="D388" s="145"/>
      <c r="E388" s="198">
        <v>1315</v>
      </c>
      <c r="F388" s="198">
        <v>1315</v>
      </c>
      <c r="G388" s="196"/>
      <c r="H388" s="197"/>
      <c r="I388" s="143"/>
      <c r="J388" s="143"/>
      <c r="K388" s="143"/>
    </row>
    <row r="389" spans="1:11" ht="19.5" x14ac:dyDescent="0.25">
      <c r="A389" s="139"/>
      <c r="B389" s="151" t="s">
        <v>19</v>
      </c>
      <c r="C389" s="203"/>
      <c r="D389" s="145"/>
      <c r="E389" s="198">
        <v>4500</v>
      </c>
      <c r="F389" s="198">
        <v>4500</v>
      </c>
      <c r="G389" s="196"/>
      <c r="H389" s="197"/>
      <c r="I389" s="143"/>
      <c r="J389" s="143"/>
      <c r="K389" s="143"/>
    </row>
    <row r="390" spans="1:11" ht="63" x14ac:dyDescent="0.25">
      <c r="A390" s="139">
        <v>103</v>
      </c>
      <c r="B390" s="246" t="s">
        <v>222</v>
      </c>
      <c r="C390" s="203" t="s">
        <v>149</v>
      </c>
      <c r="D390" s="145" t="s">
        <v>16</v>
      </c>
      <c r="E390" s="195">
        <f>E391+E392</f>
        <v>70000</v>
      </c>
      <c r="F390" s="195">
        <f>F391+F392</f>
        <v>77924</v>
      </c>
      <c r="G390" s="196">
        <f t="shared" si="15"/>
        <v>111.32</v>
      </c>
      <c r="H390" s="197">
        <v>100</v>
      </c>
      <c r="I390" s="143"/>
      <c r="J390" s="149" t="s">
        <v>399</v>
      </c>
      <c r="K390" s="143"/>
    </row>
    <row r="391" spans="1:11" ht="19.5" x14ac:dyDescent="0.25">
      <c r="A391" s="139"/>
      <c r="B391" s="151" t="s">
        <v>13</v>
      </c>
      <c r="C391" s="203"/>
      <c r="D391" s="145"/>
      <c r="E391" s="198">
        <f>E397</f>
        <v>1000</v>
      </c>
      <c r="F391" s="198">
        <f>F397</f>
        <v>1000</v>
      </c>
      <c r="G391" s="196"/>
      <c r="H391" s="197"/>
      <c r="I391" s="143"/>
      <c r="J391" s="149"/>
      <c r="K391" s="143"/>
    </row>
    <row r="392" spans="1:11" s="155" customFormat="1" ht="19.5" x14ac:dyDescent="0.25">
      <c r="A392" s="189"/>
      <c r="B392" s="151" t="s">
        <v>19</v>
      </c>
      <c r="C392" s="178"/>
      <c r="D392" s="178"/>
      <c r="E392" s="198">
        <f>E395+E398</f>
        <v>69000</v>
      </c>
      <c r="F392" s="198">
        <f>F395+F398</f>
        <v>76924</v>
      </c>
      <c r="G392" s="199">
        <f t="shared" si="15"/>
        <v>111.48405797101448</v>
      </c>
      <c r="H392" s="200"/>
      <c r="I392" s="191"/>
      <c r="J392" s="191"/>
      <c r="K392" s="191"/>
    </row>
    <row r="393" spans="1:11" ht="19.5" x14ac:dyDescent="0.25">
      <c r="A393" s="139"/>
      <c r="B393" s="246" t="s">
        <v>155</v>
      </c>
      <c r="C393" s="129"/>
      <c r="D393" s="129"/>
      <c r="E393" s="195"/>
      <c r="F393" s="195"/>
      <c r="G393" s="196"/>
      <c r="H393" s="197"/>
      <c r="I393" s="143"/>
      <c r="J393" s="143"/>
      <c r="K393" s="143"/>
    </row>
    <row r="394" spans="1:11" ht="19.5" x14ac:dyDescent="0.25">
      <c r="A394" s="139"/>
      <c r="B394" s="246" t="s">
        <v>214</v>
      </c>
      <c r="C394" s="129"/>
      <c r="D394" s="129"/>
      <c r="E394" s="195">
        <f>E395</f>
        <v>60000</v>
      </c>
      <c r="F394" s="195">
        <f>F395</f>
        <v>67924</v>
      </c>
      <c r="G394" s="196">
        <f t="shared" si="15"/>
        <v>113.20666666666668</v>
      </c>
      <c r="H394" s="197"/>
      <c r="I394" s="143"/>
      <c r="J394" s="143"/>
      <c r="K394" s="143"/>
    </row>
    <row r="395" spans="1:11" ht="19.5" x14ac:dyDescent="0.25">
      <c r="A395" s="139"/>
      <c r="B395" s="151" t="s">
        <v>19</v>
      </c>
      <c r="C395" s="129"/>
      <c r="D395" s="129"/>
      <c r="E395" s="198">
        <v>60000</v>
      </c>
      <c r="F395" s="195">
        <v>67924</v>
      </c>
      <c r="G395" s="196"/>
      <c r="H395" s="197"/>
      <c r="I395" s="143"/>
      <c r="J395" s="143"/>
      <c r="K395" s="143"/>
    </row>
    <row r="396" spans="1:11" ht="19.5" x14ac:dyDescent="0.25">
      <c r="A396" s="139"/>
      <c r="B396" s="246" t="s">
        <v>215</v>
      </c>
      <c r="C396" s="129"/>
      <c r="D396" s="129"/>
      <c r="E396" s="195">
        <f>E397+E398</f>
        <v>10000</v>
      </c>
      <c r="F396" s="195">
        <f>F397+F398</f>
        <v>10000</v>
      </c>
      <c r="G396" s="196">
        <f t="shared" si="15"/>
        <v>100</v>
      </c>
      <c r="H396" s="197"/>
      <c r="I396" s="143"/>
      <c r="J396" s="143"/>
      <c r="K396" s="143"/>
    </row>
    <row r="397" spans="1:11" s="155" customFormat="1" ht="19.5" x14ac:dyDescent="0.25">
      <c r="A397" s="189"/>
      <c r="B397" s="151" t="s">
        <v>13</v>
      </c>
      <c r="C397" s="178"/>
      <c r="D397" s="178"/>
      <c r="E397" s="198">
        <v>1000</v>
      </c>
      <c r="F397" s="198">
        <v>1000</v>
      </c>
      <c r="G397" s="199">
        <f t="shared" si="15"/>
        <v>100</v>
      </c>
      <c r="H397" s="200"/>
      <c r="I397" s="191"/>
      <c r="J397" s="191"/>
      <c r="K397" s="191"/>
    </row>
    <row r="398" spans="1:11" s="155" customFormat="1" ht="19.5" x14ac:dyDescent="0.25">
      <c r="A398" s="189"/>
      <c r="B398" s="151" t="s">
        <v>19</v>
      </c>
      <c r="C398" s="178"/>
      <c r="D398" s="178"/>
      <c r="E398" s="198">
        <v>9000</v>
      </c>
      <c r="F398" s="198">
        <v>9000</v>
      </c>
      <c r="G398" s="199"/>
      <c r="H398" s="200"/>
      <c r="I398" s="191"/>
      <c r="J398" s="191"/>
      <c r="K398" s="191"/>
    </row>
    <row r="399" spans="1:11" ht="63" x14ac:dyDescent="0.25">
      <c r="A399" s="139">
        <v>104</v>
      </c>
      <c r="B399" s="246" t="s">
        <v>223</v>
      </c>
      <c r="C399" s="203" t="s">
        <v>149</v>
      </c>
      <c r="D399" s="145" t="s">
        <v>16</v>
      </c>
      <c r="E399" s="195">
        <f>E400</f>
        <v>5000</v>
      </c>
      <c r="F399" s="195">
        <f>F400</f>
        <v>5172.92</v>
      </c>
      <c r="G399" s="196">
        <f t="shared" si="15"/>
        <v>103.4584</v>
      </c>
      <c r="H399" s="197">
        <v>100</v>
      </c>
      <c r="I399" s="143"/>
      <c r="J399" s="149" t="s">
        <v>399</v>
      </c>
      <c r="K399" s="143"/>
    </row>
    <row r="400" spans="1:11" s="155" customFormat="1" ht="19.5" x14ac:dyDescent="0.25">
      <c r="A400" s="189"/>
      <c r="B400" s="151" t="s">
        <v>19</v>
      </c>
      <c r="C400" s="205"/>
      <c r="D400" s="150"/>
      <c r="E400" s="198">
        <f>E402+E403+E404</f>
        <v>5000</v>
      </c>
      <c r="F400" s="198">
        <f>F402+F403+F404</f>
        <v>5172.92</v>
      </c>
      <c r="G400" s="199">
        <f t="shared" si="15"/>
        <v>103.4584</v>
      </c>
      <c r="H400" s="200"/>
      <c r="I400" s="191"/>
      <c r="J400" s="191"/>
      <c r="K400" s="191"/>
    </row>
    <row r="401" spans="1:11" ht="19.5" x14ac:dyDescent="0.25">
      <c r="A401" s="139"/>
      <c r="B401" s="246" t="s">
        <v>155</v>
      </c>
      <c r="C401" s="203"/>
      <c r="D401" s="145"/>
      <c r="E401" s="195"/>
      <c r="F401" s="195"/>
      <c r="G401" s="196"/>
      <c r="H401" s="197"/>
      <c r="I401" s="143"/>
      <c r="J401" s="143"/>
      <c r="K401" s="143"/>
    </row>
    <row r="402" spans="1:11" ht="19.5" x14ac:dyDescent="0.25">
      <c r="A402" s="139"/>
      <c r="B402" s="246" t="s">
        <v>164</v>
      </c>
      <c r="C402" s="129"/>
      <c r="D402" s="129"/>
      <c r="E402" s="195">
        <v>500</v>
      </c>
      <c r="F402" s="195">
        <v>500</v>
      </c>
      <c r="G402" s="196">
        <f t="shared" si="15"/>
        <v>100</v>
      </c>
      <c r="H402" s="197"/>
      <c r="I402" s="143"/>
      <c r="J402" s="143"/>
      <c r="K402" s="143"/>
    </row>
    <row r="403" spans="1:11" ht="19.5" x14ac:dyDescent="0.25">
      <c r="A403" s="139"/>
      <c r="B403" s="246" t="s">
        <v>214</v>
      </c>
      <c r="C403" s="129"/>
      <c r="D403" s="129"/>
      <c r="E403" s="195">
        <v>2500</v>
      </c>
      <c r="F403" s="195">
        <v>2672.92</v>
      </c>
      <c r="G403" s="196">
        <f t="shared" si="15"/>
        <v>106.91680000000001</v>
      </c>
      <c r="H403" s="197"/>
      <c r="I403" s="143"/>
      <c r="J403" s="143"/>
      <c r="K403" s="143"/>
    </row>
    <row r="404" spans="1:11" ht="19.5" x14ac:dyDescent="0.25">
      <c r="A404" s="139"/>
      <c r="B404" s="246" t="s">
        <v>215</v>
      </c>
      <c r="C404" s="129"/>
      <c r="D404" s="129"/>
      <c r="E404" s="195">
        <v>2000</v>
      </c>
      <c r="F404" s="195">
        <v>2000</v>
      </c>
      <c r="G404" s="196">
        <f t="shared" si="15"/>
        <v>100</v>
      </c>
      <c r="H404" s="197"/>
      <c r="I404" s="143"/>
      <c r="J404" s="143"/>
      <c r="K404" s="143"/>
    </row>
    <row r="405" spans="1:11" ht="94.5" x14ac:dyDescent="0.25">
      <c r="A405" s="139">
        <v>105</v>
      </c>
      <c r="B405" s="246" t="s">
        <v>224</v>
      </c>
      <c r="C405" s="203" t="s">
        <v>48</v>
      </c>
      <c r="D405" s="145" t="s">
        <v>16</v>
      </c>
      <c r="E405" s="195">
        <f>E406</f>
        <v>1000</v>
      </c>
      <c r="F405" s="195">
        <f>F406</f>
        <v>4090</v>
      </c>
      <c r="G405" s="196">
        <f t="shared" si="15"/>
        <v>409</v>
      </c>
      <c r="H405" s="197">
        <v>100</v>
      </c>
      <c r="I405" s="143"/>
      <c r="J405" s="149" t="s">
        <v>399</v>
      </c>
      <c r="K405" s="143"/>
    </row>
    <row r="406" spans="1:11" s="155" customFormat="1" ht="19.5" x14ac:dyDescent="0.25">
      <c r="A406" s="189"/>
      <c r="B406" s="151" t="s">
        <v>19</v>
      </c>
      <c r="C406" s="205"/>
      <c r="D406" s="150"/>
      <c r="E406" s="212">
        <f>E408</f>
        <v>1000</v>
      </c>
      <c r="F406" s="212">
        <v>4090</v>
      </c>
      <c r="G406" s="213">
        <f t="shared" si="15"/>
        <v>409</v>
      </c>
      <c r="H406" s="200"/>
      <c r="I406" s="191"/>
      <c r="J406" s="191"/>
      <c r="K406" s="191"/>
    </row>
    <row r="407" spans="1:11" ht="19.5" x14ac:dyDescent="0.25">
      <c r="A407" s="139"/>
      <c r="B407" s="246" t="s">
        <v>155</v>
      </c>
      <c r="C407" s="203"/>
      <c r="D407" s="145"/>
      <c r="E407" s="214"/>
      <c r="F407" s="214"/>
      <c r="G407" s="215"/>
      <c r="H407" s="197"/>
      <c r="I407" s="143"/>
      <c r="J407" s="143"/>
      <c r="K407" s="143"/>
    </row>
    <row r="408" spans="1:11" ht="31.5" x14ac:dyDescent="0.25">
      <c r="A408" s="139"/>
      <c r="B408" s="246" t="s">
        <v>225</v>
      </c>
      <c r="C408" s="203"/>
      <c r="D408" s="145"/>
      <c r="E408" s="214">
        <v>1000</v>
      </c>
      <c r="F408" s="214"/>
      <c r="G408" s="215">
        <f t="shared" si="15"/>
        <v>0</v>
      </c>
      <c r="H408" s="197"/>
      <c r="I408" s="143"/>
      <c r="J408" s="143"/>
      <c r="K408" s="143"/>
    </row>
    <row r="409" spans="1:11" ht="141.75" x14ac:dyDescent="0.25">
      <c r="A409" s="139">
        <v>106</v>
      </c>
      <c r="B409" s="246" t="s">
        <v>489</v>
      </c>
      <c r="C409" s="203" t="s">
        <v>48</v>
      </c>
      <c r="D409" s="145" t="s">
        <v>16</v>
      </c>
      <c r="E409" s="195">
        <f>E410</f>
        <v>500</v>
      </c>
      <c r="F409" s="195">
        <f>F410</f>
        <v>0</v>
      </c>
      <c r="G409" s="196">
        <f t="shared" si="15"/>
        <v>0</v>
      </c>
      <c r="H409" s="197">
        <v>100</v>
      </c>
      <c r="I409" s="149" t="s">
        <v>490</v>
      </c>
      <c r="J409" s="149" t="s">
        <v>399</v>
      </c>
      <c r="K409" s="143"/>
    </row>
    <row r="410" spans="1:11" s="155" customFormat="1" ht="19.5" x14ac:dyDescent="0.25">
      <c r="A410" s="189"/>
      <c r="B410" s="151" t="s">
        <v>19</v>
      </c>
      <c r="C410" s="205"/>
      <c r="D410" s="150"/>
      <c r="E410" s="212">
        <f>E412</f>
        <v>500</v>
      </c>
      <c r="F410" s="212">
        <f>F412</f>
        <v>0</v>
      </c>
      <c r="G410" s="213">
        <f t="shared" ref="G410:G473" si="16">F410/E410*100</f>
        <v>0</v>
      </c>
      <c r="H410" s="200"/>
      <c r="I410" s="191"/>
      <c r="J410" s="191"/>
      <c r="K410" s="191"/>
    </row>
    <row r="411" spans="1:11" ht="19.5" x14ac:dyDescent="0.25">
      <c r="A411" s="139"/>
      <c r="B411" s="246" t="s">
        <v>155</v>
      </c>
      <c r="C411" s="203"/>
      <c r="D411" s="145"/>
      <c r="E411" s="216"/>
      <c r="F411" s="214"/>
      <c r="G411" s="215"/>
      <c r="H411" s="197"/>
      <c r="I411" s="143"/>
      <c r="J411" s="143"/>
      <c r="K411" s="143"/>
    </row>
    <row r="412" spans="1:11" ht="31.5" x14ac:dyDescent="0.25">
      <c r="A412" s="139"/>
      <c r="B412" s="246" t="s">
        <v>225</v>
      </c>
      <c r="C412" s="203"/>
      <c r="D412" s="145"/>
      <c r="E412" s="214">
        <v>500</v>
      </c>
      <c r="F412" s="214"/>
      <c r="G412" s="215">
        <f t="shared" si="16"/>
        <v>0</v>
      </c>
      <c r="H412" s="197"/>
      <c r="I412" s="143"/>
      <c r="J412" s="143"/>
      <c r="K412" s="143"/>
    </row>
    <row r="413" spans="1:11" ht="126" x14ac:dyDescent="0.25">
      <c r="A413" s="139">
        <v>107</v>
      </c>
      <c r="B413" s="246" t="s">
        <v>217</v>
      </c>
      <c r="C413" s="203" t="s">
        <v>48</v>
      </c>
      <c r="D413" s="145" t="s">
        <v>16</v>
      </c>
      <c r="E413" s="195">
        <f>E414</f>
        <v>200</v>
      </c>
      <c r="F413" s="195">
        <f>F414</f>
        <v>0</v>
      </c>
      <c r="G413" s="196">
        <f t="shared" si="16"/>
        <v>0</v>
      </c>
      <c r="H413" s="197">
        <v>100</v>
      </c>
      <c r="I413" s="149" t="s">
        <v>491</v>
      </c>
      <c r="J413" s="149" t="s">
        <v>399</v>
      </c>
      <c r="K413" s="143"/>
    </row>
    <row r="414" spans="1:11" s="155" customFormat="1" ht="19.5" x14ac:dyDescent="0.25">
      <c r="A414" s="189"/>
      <c r="B414" s="151" t="s">
        <v>19</v>
      </c>
      <c r="C414" s="205"/>
      <c r="D414" s="150"/>
      <c r="E414" s="212">
        <f>E416</f>
        <v>200</v>
      </c>
      <c r="F414" s="212">
        <f>F416</f>
        <v>0</v>
      </c>
      <c r="G414" s="213">
        <f t="shared" si="16"/>
        <v>0</v>
      </c>
      <c r="H414" s="200"/>
      <c r="I414" s="191"/>
      <c r="J414" s="191"/>
      <c r="K414" s="191"/>
    </row>
    <row r="415" spans="1:11" ht="19.5" x14ac:dyDescent="0.25">
      <c r="A415" s="139"/>
      <c r="B415" s="246" t="s">
        <v>155</v>
      </c>
      <c r="C415" s="203"/>
      <c r="D415" s="145"/>
      <c r="E415" s="214"/>
      <c r="F415" s="214"/>
      <c r="G415" s="215"/>
      <c r="H415" s="197"/>
      <c r="I415" s="143"/>
      <c r="J415" s="143"/>
      <c r="K415" s="143"/>
    </row>
    <row r="416" spans="1:11" ht="31.5" x14ac:dyDescent="0.25">
      <c r="A416" s="139"/>
      <c r="B416" s="246" t="s">
        <v>225</v>
      </c>
      <c r="C416" s="203"/>
      <c r="D416" s="145"/>
      <c r="E416" s="214">
        <v>200</v>
      </c>
      <c r="F416" s="214"/>
      <c r="G416" s="215">
        <f t="shared" si="16"/>
        <v>0</v>
      </c>
      <c r="H416" s="197"/>
      <c r="I416" s="143"/>
      <c r="J416" s="143"/>
      <c r="K416" s="143"/>
    </row>
    <row r="417" spans="1:11" ht="110.25" x14ac:dyDescent="0.25">
      <c r="A417" s="139">
        <v>108</v>
      </c>
      <c r="B417" s="246" t="s">
        <v>219</v>
      </c>
      <c r="C417" s="203" t="s">
        <v>48</v>
      </c>
      <c r="D417" s="145" t="s">
        <v>16</v>
      </c>
      <c r="E417" s="195">
        <f>E418</f>
        <v>600</v>
      </c>
      <c r="F417" s="195">
        <v>300</v>
      </c>
      <c r="G417" s="196">
        <f t="shared" si="16"/>
        <v>50</v>
      </c>
      <c r="H417" s="197">
        <v>100</v>
      </c>
      <c r="I417" s="149" t="s">
        <v>492</v>
      </c>
      <c r="J417" s="149" t="s">
        <v>399</v>
      </c>
      <c r="K417" s="143"/>
    </row>
    <row r="418" spans="1:11" s="155" customFormat="1" ht="19.5" x14ac:dyDescent="0.25">
      <c r="A418" s="189"/>
      <c r="B418" s="151" t="s">
        <v>19</v>
      </c>
      <c r="C418" s="205"/>
      <c r="D418" s="150"/>
      <c r="E418" s="212">
        <f>E420</f>
        <v>600</v>
      </c>
      <c r="F418" s="212">
        <f>F420</f>
        <v>0</v>
      </c>
      <c r="G418" s="213">
        <f t="shared" si="16"/>
        <v>0</v>
      </c>
      <c r="H418" s="200"/>
      <c r="I418" s="191"/>
      <c r="J418" s="191"/>
      <c r="K418" s="191"/>
    </row>
    <row r="419" spans="1:11" ht="19.5" x14ac:dyDescent="0.25">
      <c r="A419" s="139"/>
      <c r="B419" s="246" t="s">
        <v>155</v>
      </c>
      <c r="C419" s="203"/>
      <c r="D419" s="145"/>
      <c r="E419" s="214"/>
      <c r="F419" s="214"/>
      <c r="G419" s="215"/>
      <c r="H419" s="197"/>
      <c r="I419" s="143"/>
      <c r="J419" s="143"/>
      <c r="K419" s="143"/>
    </row>
    <row r="420" spans="1:11" ht="31.5" x14ac:dyDescent="0.25">
      <c r="A420" s="139"/>
      <c r="B420" s="246" t="s">
        <v>225</v>
      </c>
      <c r="C420" s="203"/>
      <c r="D420" s="145"/>
      <c r="E420" s="214">
        <v>600</v>
      </c>
      <c r="F420" s="214">
        <v>0</v>
      </c>
      <c r="G420" s="215">
        <f t="shared" si="16"/>
        <v>0</v>
      </c>
      <c r="H420" s="197"/>
      <c r="I420" s="143"/>
      <c r="J420" s="143"/>
      <c r="K420" s="143"/>
    </row>
    <row r="421" spans="1:11" ht="78.75" x14ac:dyDescent="0.25">
      <c r="A421" s="139">
        <v>109</v>
      </c>
      <c r="B421" s="246" t="s">
        <v>227</v>
      </c>
      <c r="C421" s="203" t="s">
        <v>48</v>
      </c>
      <c r="D421" s="145" t="s">
        <v>16</v>
      </c>
      <c r="E421" s="195">
        <v>400</v>
      </c>
      <c r="F421" s="195">
        <v>812</v>
      </c>
      <c r="G421" s="196">
        <f t="shared" si="16"/>
        <v>202.99999999999997</v>
      </c>
      <c r="H421" s="197">
        <v>100</v>
      </c>
      <c r="I421" s="143"/>
      <c r="J421" s="149" t="s">
        <v>399</v>
      </c>
      <c r="K421" s="143"/>
    </row>
    <row r="422" spans="1:11" s="155" customFormat="1" ht="19.5" x14ac:dyDescent="0.25">
      <c r="A422" s="189"/>
      <c r="B422" s="151" t="s">
        <v>19</v>
      </c>
      <c r="C422" s="205"/>
      <c r="D422" s="150"/>
      <c r="E422" s="212">
        <v>400</v>
      </c>
      <c r="F422" s="212">
        <v>812</v>
      </c>
      <c r="G422" s="213">
        <f t="shared" si="16"/>
        <v>202.99999999999997</v>
      </c>
      <c r="H422" s="200"/>
      <c r="I422" s="191"/>
      <c r="J422" s="191"/>
      <c r="K422" s="191"/>
    </row>
    <row r="423" spans="1:11" ht="94.5" x14ac:dyDescent="0.25">
      <c r="A423" s="139">
        <v>110</v>
      </c>
      <c r="B423" s="246" t="s">
        <v>228</v>
      </c>
      <c r="C423" s="203" t="s">
        <v>48</v>
      </c>
      <c r="D423" s="145" t="s">
        <v>16</v>
      </c>
      <c r="E423" s="195">
        <v>400</v>
      </c>
      <c r="F423" s="195">
        <v>169</v>
      </c>
      <c r="G423" s="196">
        <f t="shared" si="16"/>
        <v>42.25</v>
      </c>
      <c r="H423" s="197">
        <v>100</v>
      </c>
      <c r="I423" s="149" t="s">
        <v>493</v>
      </c>
      <c r="J423" s="149" t="s">
        <v>399</v>
      </c>
      <c r="K423" s="143"/>
    </row>
    <row r="424" spans="1:11" s="155" customFormat="1" ht="19.5" x14ac:dyDescent="0.25">
      <c r="A424" s="189"/>
      <c r="B424" s="151" t="s">
        <v>19</v>
      </c>
      <c r="C424" s="205"/>
      <c r="D424" s="150"/>
      <c r="E424" s="212">
        <v>400</v>
      </c>
      <c r="F424" s="195">
        <v>169</v>
      </c>
      <c r="G424" s="213">
        <f t="shared" si="16"/>
        <v>42.25</v>
      </c>
      <c r="H424" s="200"/>
      <c r="I424" s="191"/>
      <c r="J424" s="191"/>
      <c r="K424" s="191"/>
    </row>
    <row r="425" spans="1:11" ht="78.75" x14ac:dyDescent="0.25">
      <c r="A425" s="139">
        <v>111</v>
      </c>
      <c r="B425" s="246" t="s">
        <v>229</v>
      </c>
      <c r="C425" s="203" t="s">
        <v>48</v>
      </c>
      <c r="D425" s="145" t="s">
        <v>16</v>
      </c>
      <c r="E425" s="195">
        <v>2500</v>
      </c>
      <c r="F425" s="195">
        <v>2800</v>
      </c>
      <c r="G425" s="196">
        <f t="shared" si="16"/>
        <v>112.00000000000001</v>
      </c>
      <c r="H425" s="197">
        <v>100</v>
      </c>
      <c r="I425" s="143"/>
      <c r="J425" s="149" t="s">
        <v>399</v>
      </c>
      <c r="K425" s="143"/>
    </row>
    <row r="426" spans="1:11" s="155" customFormat="1" ht="19.5" x14ac:dyDescent="0.25">
      <c r="A426" s="189"/>
      <c r="B426" s="151" t="s">
        <v>19</v>
      </c>
      <c r="C426" s="205"/>
      <c r="D426" s="150"/>
      <c r="E426" s="212">
        <v>2500</v>
      </c>
      <c r="F426" s="212">
        <v>2800</v>
      </c>
      <c r="G426" s="213">
        <f t="shared" si="16"/>
        <v>112.00000000000001</v>
      </c>
      <c r="H426" s="200"/>
      <c r="I426" s="191"/>
      <c r="J426" s="191"/>
      <c r="K426" s="191"/>
    </row>
    <row r="427" spans="1:11" ht="63" x14ac:dyDescent="0.25">
      <c r="A427" s="139">
        <v>112</v>
      </c>
      <c r="B427" s="246" t="s">
        <v>230</v>
      </c>
      <c r="C427" s="203" t="s">
        <v>48</v>
      </c>
      <c r="D427" s="145" t="s">
        <v>16</v>
      </c>
      <c r="E427" s="195">
        <f>E428</f>
        <v>2000</v>
      </c>
      <c r="F427" s="195">
        <f>F428</f>
        <v>2501</v>
      </c>
      <c r="G427" s="196">
        <f t="shared" si="16"/>
        <v>125.05</v>
      </c>
      <c r="H427" s="197">
        <v>100</v>
      </c>
      <c r="I427" s="143"/>
      <c r="J427" s="149" t="s">
        <v>399</v>
      </c>
      <c r="K427" s="143"/>
    </row>
    <row r="428" spans="1:11" s="155" customFormat="1" ht="19.5" x14ac:dyDescent="0.25">
      <c r="A428" s="189"/>
      <c r="B428" s="151" t="s">
        <v>19</v>
      </c>
      <c r="C428" s="205"/>
      <c r="D428" s="150"/>
      <c r="E428" s="212">
        <f>E430+E431</f>
        <v>2000</v>
      </c>
      <c r="F428" s="212">
        <f>F430+F431</f>
        <v>2501</v>
      </c>
      <c r="G428" s="213">
        <f t="shared" si="16"/>
        <v>125.05</v>
      </c>
      <c r="H428" s="200"/>
      <c r="I428" s="191"/>
      <c r="J428" s="191"/>
      <c r="K428" s="191"/>
    </row>
    <row r="429" spans="1:11" ht="19.5" x14ac:dyDescent="0.25">
      <c r="A429" s="139"/>
      <c r="B429" s="246" t="s">
        <v>155</v>
      </c>
      <c r="C429" s="203"/>
      <c r="D429" s="145"/>
      <c r="E429" s="214"/>
      <c r="F429" s="214"/>
      <c r="G429" s="215"/>
      <c r="H429" s="197"/>
      <c r="I429" s="143"/>
      <c r="J429" s="143"/>
      <c r="K429" s="143"/>
    </row>
    <row r="430" spans="1:11" ht="31.5" x14ac:dyDescent="0.25">
      <c r="A430" s="139"/>
      <c r="B430" s="246" t="s">
        <v>225</v>
      </c>
      <c r="C430" s="203"/>
      <c r="D430" s="145"/>
      <c r="E430" s="214">
        <v>1000</v>
      </c>
      <c r="F430" s="214">
        <v>1800</v>
      </c>
      <c r="G430" s="215">
        <f t="shared" si="16"/>
        <v>180</v>
      </c>
      <c r="H430" s="197"/>
      <c r="I430" s="143"/>
      <c r="J430" s="143"/>
      <c r="K430" s="143"/>
    </row>
    <row r="431" spans="1:11" ht="19.5" x14ac:dyDescent="0.25">
      <c r="A431" s="139"/>
      <c r="B431" s="246" t="s">
        <v>226</v>
      </c>
      <c r="C431" s="203"/>
      <c r="D431" s="145"/>
      <c r="E431" s="214">
        <v>1000</v>
      </c>
      <c r="F431" s="214">
        <v>701</v>
      </c>
      <c r="G431" s="215">
        <f t="shared" si="16"/>
        <v>70.099999999999994</v>
      </c>
      <c r="H431" s="197"/>
      <c r="I431" s="143"/>
      <c r="J431" s="143"/>
      <c r="K431" s="143"/>
    </row>
    <row r="432" spans="1:11" ht="78.75" x14ac:dyDescent="0.25">
      <c r="A432" s="139">
        <v>113</v>
      </c>
      <c r="B432" s="246" t="s">
        <v>231</v>
      </c>
      <c r="C432" s="203" t="s">
        <v>48</v>
      </c>
      <c r="D432" s="145" t="s">
        <v>16</v>
      </c>
      <c r="E432" s="195">
        <f>E433</f>
        <v>800</v>
      </c>
      <c r="F432" s="195">
        <f>F433</f>
        <v>1693</v>
      </c>
      <c r="G432" s="196">
        <f t="shared" si="16"/>
        <v>211.625</v>
      </c>
      <c r="H432" s="197">
        <v>100</v>
      </c>
      <c r="I432" s="143"/>
      <c r="J432" s="149" t="s">
        <v>399</v>
      </c>
      <c r="K432" s="143"/>
    </row>
    <row r="433" spans="1:11" s="155" customFormat="1" ht="19.5" x14ac:dyDescent="0.25">
      <c r="A433" s="189"/>
      <c r="B433" s="151" t="s">
        <v>19</v>
      </c>
      <c r="C433" s="205"/>
      <c r="D433" s="150"/>
      <c r="E433" s="212">
        <f>E435+E436</f>
        <v>800</v>
      </c>
      <c r="F433" s="212">
        <f>F435+F436</f>
        <v>1693</v>
      </c>
      <c r="G433" s="213">
        <f t="shared" si="16"/>
        <v>211.625</v>
      </c>
      <c r="H433" s="200"/>
      <c r="I433" s="191"/>
      <c r="J433" s="191"/>
      <c r="K433" s="191"/>
    </row>
    <row r="434" spans="1:11" ht="19.5" x14ac:dyDescent="0.25">
      <c r="A434" s="139"/>
      <c r="B434" s="246" t="s">
        <v>155</v>
      </c>
      <c r="C434" s="203"/>
      <c r="D434" s="145"/>
      <c r="E434" s="217"/>
      <c r="F434" s="217"/>
      <c r="G434" s="217"/>
      <c r="H434" s="197"/>
      <c r="I434" s="143"/>
      <c r="J434" s="143"/>
      <c r="K434" s="143"/>
    </row>
    <row r="435" spans="1:11" ht="31.5" x14ac:dyDescent="0.25">
      <c r="A435" s="139"/>
      <c r="B435" s="246" t="s">
        <v>225</v>
      </c>
      <c r="C435" s="203"/>
      <c r="D435" s="145"/>
      <c r="E435" s="218">
        <v>400</v>
      </c>
      <c r="F435" s="217">
        <v>40</v>
      </c>
      <c r="G435" s="217"/>
      <c r="H435" s="197"/>
      <c r="I435" s="143"/>
      <c r="J435" s="143"/>
      <c r="K435" s="143"/>
    </row>
    <row r="436" spans="1:11" ht="19.5" x14ac:dyDescent="0.25">
      <c r="A436" s="139"/>
      <c r="B436" s="246" t="s">
        <v>226</v>
      </c>
      <c r="C436" s="203"/>
      <c r="D436" s="145"/>
      <c r="E436" s="217">
        <v>400</v>
      </c>
      <c r="F436" s="217">
        <v>1653</v>
      </c>
      <c r="G436" s="215">
        <f t="shared" si="16"/>
        <v>413.25</v>
      </c>
      <c r="H436" s="197"/>
      <c r="I436" s="143"/>
      <c r="J436" s="143"/>
      <c r="K436" s="143"/>
    </row>
    <row r="437" spans="1:11" ht="126" x14ac:dyDescent="0.25">
      <c r="A437" s="139">
        <v>114</v>
      </c>
      <c r="B437" s="246" t="s">
        <v>237</v>
      </c>
      <c r="C437" s="203" t="s">
        <v>232</v>
      </c>
      <c r="D437" s="145" t="s">
        <v>16</v>
      </c>
      <c r="E437" s="195">
        <v>4058</v>
      </c>
      <c r="F437" s="195">
        <v>4057.41</v>
      </c>
      <c r="G437" s="196">
        <f t="shared" si="16"/>
        <v>99.985460818137</v>
      </c>
      <c r="H437" s="197">
        <v>100</v>
      </c>
      <c r="I437" s="143"/>
      <c r="J437" s="149" t="s">
        <v>399</v>
      </c>
      <c r="K437" s="143"/>
    </row>
    <row r="438" spans="1:11" s="155" customFormat="1" ht="19.5" x14ac:dyDescent="0.25">
      <c r="A438" s="189"/>
      <c r="B438" s="206" t="s">
        <v>13</v>
      </c>
      <c r="C438" s="205"/>
      <c r="D438" s="150"/>
      <c r="E438" s="212">
        <v>4058</v>
      </c>
      <c r="F438" s="212">
        <v>4057.41</v>
      </c>
      <c r="G438" s="213">
        <f t="shared" si="16"/>
        <v>99.985460818137</v>
      </c>
      <c r="H438" s="200"/>
      <c r="I438" s="191"/>
      <c r="J438" s="191"/>
      <c r="K438" s="191"/>
    </row>
    <row r="439" spans="1:11" ht="94.5" x14ac:dyDescent="0.25">
      <c r="A439" s="139">
        <v>115</v>
      </c>
      <c r="B439" s="246" t="s">
        <v>494</v>
      </c>
      <c r="C439" s="203" t="s">
        <v>232</v>
      </c>
      <c r="D439" s="145" t="s">
        <v>16</v>
      </c>
      <c r="E439" s="195">
        <v>500</v>
      </c>
      <c r="F439" s="195">
        <v>500</v>
      </c>
      <c r="G439" s="196">
        <f t="shared" si="16"/>
        <v>100</v>
      </c>
      <c r="H439" s="197">
        <v>100</v>
      </c>
      <c r="I439" s="143"/>
      <c r="J439" s="149" t="s">
        <v>399</v>
      </c>
      <c r="K439" s="143"/>
    </row>
    <row r="440" spans="1:11" s="155" customFormat="1" ht="19.5" x14ac:dyDescent="0.25">
      <c r="A440" s="189"/>
      <c r="B440" s="151" t="s">
        <v>19</v>
      </c>
      <c r="C440" s="205"/>
      <c r="D440" s="150"/>
      <c r="E440" s="212">
        <v>500</v>
      </c>
      <c r="F440" s="212">
        <v>500</v>
      </c>
      <c r="G440" s="213">
        <f t="shared" si="16"/>
        <v>100</v>
      </c>
      <c r="H440" s="200"/>
      <c r="I440" s="191"/>
      <c r="J440" s="191"/>
      <c r="K440" s="191"/>
    </row>
    <row r="441" spans="1:11" ht="173.25" x14ac:dyDescent="0.25">
      <c r="A441" s="139">
        <v>116</v>
      </c>
      <c r="B441" s="246" t="s">
        <v>238</v>
      </c>
      <c r="C441" s="203" t="s">
        <v>232</v>
      </c>
      <c r="D441" s="145" t="s">
        <v>16</v>
      </c>
      <c r="E441" s="195">
        <v>200</v>
      </c>
      <c r="F441" s="195">
        <v>200</v>
      </c>
      <c r="G441" s="196">
        <f t="shared" si="16"/>
        <v>100</v>
      </c>
      <c r="H441" s="197">
        <v>100</v>
      </c>
      <c r="I441" s="143"/>
      <c r="J441" s="149" t="s">
        <v>399</v>
      </c>
      <c r="K441" s="143"/>
    </row>
    <row r="442" spans="1:11" s="155" customFormat="1" ht="19.5" x14ac:dyDescent="0.25">
      <c r="A442" s="189"/>
      <c r="B442" s="151" t="s">
        <v>19</v>
      </c>
      <c r="C442" s="205"/>
      <c r="D442" s="150"/>
      <c r="E442" s="212">
        <v>200</v>
      </c>
      <c r="F442" s="212">
        <v>200</v>
      </c>
      <c r="G442" s="213">
        <f t="shared" si="16"/>
        <v>100</v>
      </c>
      <c r="H442" s="200"/>
      <c r="I442" s="191"/>
      <c r="J442" s="191"/>
      <c r="K442" s="191"/>
    </row>
    <row r="443" spans="1:11" ht="110.25" x14ac:dyDescent="0.25">
      <c r="A443" s="139">
        <v>117</v>
      </c>
      <c r="B443" s="246" t="s">
        <v>495</v>
      </c>
      <c r="C443" s="203" t="s">
        <v>232</v>
      </c>
      <c r="D443" s="145" t="s">
        <v>16</v>
      </c>
      <c r="E443" s="195">
        <v>200</v>
      </c>
      <c r="F443" s="195">
        <v>944.3</v>
      </c>
      <c r="G443" s="196">
        <f t="shared" si="16"/>
        <v>472.15</v>
      </c>
      <c r="H443" s="197">
        <v>100</v>
      </c>
      <c r="I443" s="143"/>
      <c r="J443" s="149" t="s">
        <v>399</v>
      </c>
      <c r="K443" s="143"/>
    </row>
    <row r="444" spans="1:11" s="155" customFormat="1" ht="19.5" x14ac:dyDescent="0.25">
      <c r="A444" s="189"/>
      <c r="B444" s="151" t="s">
        <v>19</v>
      </c>
      <c r="C444" s="205"/>
      <c r="D444" s="150"/>
      <c r="E444" s="212">
        <v>200</v>
      </c>
      <c r="F444" s="212">
        <v>944.3</v>
      </c>
      <c r="G444" s="213">
        <f t="shared" si="16"/>
        <v>472.15</v>
      </c>
      <c r="H444" s="200"/>
      <c r="I444" s="191"/>
      <c r="J444" s="191"/>
      <c r="K444" s="191"/>
    </row>
    <row r="445" spans="1:11" ht="94.5" x14ac:dyDescent="0.25">
      <c r="A445" s="139">
        <v>118</v>
      </c>
      <c r="B445" s="246" t="s">
        <v>235</v>
      </c>
      <c r="C445" s="203" t="s">
        <v>232</v>
      </c>
      <c r="D445" s="145" t="s">
        <v>16</v>
      </c>
      <c r="E445" s="195">
        <v>1700</v>
      </c>
      <c r="F445" s="195">
        <v>1700</v>
      </c>
      <c r="G445" s="196">
        <f t="shared" si="16"/>
        <v>100</v>
      </c>
      <c r="H445" s="197">
        <v>100</v>
      </c>
      <c r="I445" s="143"/>
      <c r="J445" s="149" t="s">
        <v>399</v>
      </c>
      <c r="K445" s="143"/>
    </row>
    <row r="446" spans="1:11" s="155" customFormat="1" ht="19.5" x14ac:dyDescent="0.25">
      <c r="A446" s="189"/>
      <c r="B446" s="151" t="s">
        <v>13</v>
      </c>
      <c r="C446" s="205"/>
      <c r="D446" s="150"/>
      <c r="E446" s="212">
        <v>1700</v>
      </c>
      <c r="F446" s="212">
        <v>1700</v>
      </c>
      <c r="G446" s="213">
        <f t="shared" si="16"/>
        <v>100</v>
      </c>
      <c r="H446" s="200"/>
      <c r="I446" s="191"/>
      <c r="J446" s="191"/>
      <c r="K446" s="191"/>
    </row>
    <row r="447" spans="1:11" ht="94.5" x14ac:dyDescent="0.25">
      <c r="A447" s="139">
        <v>119</v>
      </c>
      <c r="B447" s="246" t="s">
        <v>236</v>
      </c>
      <c r="C447" s="203" t="s">
        <v>232</v>
      </c>
      <c r="D447" s="145" t="s">
        <v>16</v>
      </c>
      <c r="E447" s="195">
        <v>1700</v>
      </c>
      <c r="F447" s="195">
        <v>1700</v>
      </c>
      <c r="G447" s="196">
        <f t="shared" si="16"/>
        <v>100</v>
      </c>
      <c r="H447" s="197">
        <v>100</v>
      </c>
      <c r="I447" s="143"/>
      <c r="J447" s="149" t="s">
        <v>399</v>
      </c>
      <c r="K447" s="143"/>
    </row>
    <row r="448" spans="1:11" s="155" customFormat="1" ht="19.5" x14ac:dyDescent="0.25">
      <c r="A448" s="189"/>
      <c r="B448" s="151" t="s">
        <v>13</v>
      </c>
      <c r="C448" s="205"/>
      <c r="D448" s="150"/>
      <c r="E448" s="198">
        <v>1700</v>
      </c>
      <c r="F448" s="198">
        <v>1700</v>
      </c>
      <c r="G448" s="213">
        <f t="shared" si="16"/>
        <v>100</v>
      </c>
      <c r="H448" s="200"/>
      <c r="I448" s="191"/>
      <c r="J448" s="191"/>
      <c r="K448" s="191"/>
    </row>
    <row r="449" spans="1:11" ht="63" x14ac:dyDescent="0.25">
      <c r="A449" s="139">
        <v>120</v>
      </c>
      <c r="B449" s="246" t="s">
        <v>496</v>
      </c>
      <c r="C449" s="203" t="s">
        <v>50</v>
      </c>
      <c r="D449" s="145" t="s">
        <v>482</v>
      </c>
      <c r="E449" s="195">
        <f>E450</f>
        <v>3406</v>
      </c>
      <c r="F449" s="195">
        <f>F450</f>
        <v>3406</v>
      </c>
      <c r="G449" s="218">
        <f t="shared" si="16"/>
        <v>100</v>
      </c>
      <c r="H449" s="197">
        <v>100</v>
      </c>
      <c r="I449" s="143"/>
      <c r="J449" s="149" t="s">
        <v>449</v>
      </c>
      <c r="K449" s="143"/>
    </row>
    <row r="450" spans="1:11" s="155" customFormat="1" ht="19.5" x14ac:dyDescent="0.25">
      <c r="A450" s="189"/>
      <c r="B450" s="151" t="s">
        <v>13</v>
      </c>
      <c r="C450" s="205"/>
      <c r="D450" s="150"/>
      <c r="E450" s="212">
        <v>3406</v>
      </c>
      <c r="F450" s="212">
        <v>3406</v>
      </c>
      <c r="G450" s="219">
        <f t="shared" si="16"/>
        <v>100</v>
      </c>
      <c r="H450" s="200"/>
      <c r="I450" s="191"/>
      <c r="J450" s="191"/>
      <c r="K450" s="191"/>
    </row>
    <row r="451" spans="1:11" ht="126" x14ac:dyDescent="0.25">
      <c r="A451" s="139">
        <v>121</v>
      </c>
      <c r="B451" s="246" t="s">
        <v>240</v>
      </c>
      <c r="C451" s="203" t="s">
        <v>197</v>
      </c>
      <c r="D451" s="145" t="s">
        <v>16</v>
      </c>
      <c r="E451" s="195">
        <v>300</v>
      </c>
      <c r="F451" s="195">
        <v>900</v>
      </c>
      <c r="G451" s="196">
        <f t="shared" si="16"/>
        <v>300</v>
      </c>
      <c r="H451" s="197">
        <v>100</v>
      </c>
      <c r="I451" s="143"/>
      <c r="J451" s="149" t="s">
        <v>399</v>
      </c>
      <c r="K451" s="143"/>
    </row>
    <row r="452" spans="1:11" s="155" customFormat="1" ht="19.5" x14ac:dyDescent="0.25">
      <c r="A452" s="189"/>
      <c r="B452" s="151" t="s">
        <v>19</v>
      </c>
      <c r="C452" s="205"/>
      <c r="D452" s="150"/>
      <c r="E452" s="212">
        <v>300</v>
      </c>
      <c r="F452" s="198">
        <v>900</v>
      </c>
      <c r="G452" s="213">
        <f t="shared" si="16"/>
        <v>300</v>
      </c>
      <c r="H452" s="200"/>
      <c r="I452" s="191"/>
      <c r="J452" s="191"/>
      <c r="K452" s="191"/>
    </row>
    <row r="453" spans="1:11" ht="141.75" x14ac:dyDescent="0.25">
      <c r="A453" s="139">
        <v>122</v>
      </c>
      <c r="B453" s="246" t="s">
        <v>241</v>
      </c>
      <c r="C453" s="203" t="s">
        <v>197</v>
      </c>
      <c r="D453" s="145" t="s">
        <v>16</v>
      </c>
      <c r="E453" s="195">
        <v>200</v>
      </c>
      <c r="F453" s="195">
        <v>200</v>
      </c>
      <c r="G453" s="196">
        <f t="shared" si="16"/>
        <v>100</v>
      </c>
      <c r="H453" s="197">
        <v>100</v>
      </c>
      <c r="I453" s="143"/>
      <c r="J453" s="149" t="s">
        <v>399</v>
      </c>
      <c r="K453" s="143"/>
    </row>
    <row r="454" spans="1:11" s="155" customFormat="1" ht="19.5" x14ac:dyDescent="0.25">
      <c r="A454" s="189"/>
      <c r="B454" s="151" t="s">
        <v>19</v>
      </c>
      <c r="C454" s="205"/>
      <c r="D454" s="150"/>
      <c r="E454" s="212">
        <v>200</v>
      </c>
      <c r="F454" s="212">
        <v>200</v>
      </c>
      <c r="G454" s="213">
        <f t="shared" si="16"/>
        <v>100</v>
      </c>
      <c r="H454" s="200"/>
      <c r="I454" s="191"/>
      <c r="J454" s="191"/>
      <c r="K454" s="191"/>
    </row>
    <row r="455" spans="1:11" ht="110.25" x14ac:dyDescent="0.25">
      <c r="A455" s="139">
        <v>123</v>
      </c>
      <c r="B455" s="246" t="s">
        <v>242</v>
      </c>
      <c r="C455" s="203" t="s">
        <v>197</v>
      </c>
      <c r="D455" s="145" t="s">
        <v>16</v>
      </c>
      <c r="E455" s="195">
        <v>200</v>
      </c>
      <c r="F455" s="195">
        <v>200</v>
      </c>
      <c r="G455" s="196">
        <f t="shared" si="16"/>
        <v>100</v>
      </c>
      <c r="H455" s="197">
        <v>100</v>
      </c>
      <c r="I455" s="143"/>
      <c r="J455" s="149" t="s">
        <v>399</v>
      </c>
      <c r="K455" s="143"/>
    </row>
    <row r="456" spans="1:11" s="155" customFormat="1" ht="19.5" x14ac:dyDescent="0.25">
      <c r="A456" s="189"/>
      <c r="B456" s="151" t="s">
        <v>19</v>
      </c>
      <c r="C456" s="205"/>
      <c r="D456" s="150"/>
      <c r="E456" s="212">
        <v>200</v>
      </c>
      <c r="F456" s="212">
        <v>200</v>
      </c>
      <c r="G456" s="213">
        <f t="shared" si="16"/>
        <v>100</v>
      </c>
      <c r="H456" s="200"/>
      <c r="I456" s="191"/>
      <c r="J456" s="191"/>
      <c r="K456" s="191"/>
    </row>
    <row r="457" spans="1:11" ht="78.75" x14ac:dyDescent="0.25">
      <c r="A457" s="139">
        <v>124</v>
      </c>
      <c r="B457" s="246" t="s">
        <v>245</v>
      </c>
      <c r="C457" s="203" t="s">
        <v>197</v>
      </c>
      <c r="D457" s="145" t="s">
        <v>16</v>
      </c>
      <c r="E457" s="195">
        <v>2000</v>
      </c>
      <c r="F457" s="195">
        <v>11257</v>
      </c>
      <c r="G457" s="196">
        <f t="shared" si="16"/>
        <v>562.85</v>
      </c>
      <c r="H457" s="197">
        <v>100</v>
      </c>
      <c r="I457" s="143"/>
      <c r="J457" s="149" t="s">
        <v>399</v>
      </c>
      <c r="K457" s="143"/>
    </row>
    <row r="458" spans="1:11" s="155" customFormat="1" ht="19.5" x14ac:dyDescent="0.25">
      <c r="A458" s="189"/>
      <c r="B458" s="151" t="s">
        <v>19</v>
      </c>
      <c r="C458" s="205"/>
      <c r="D458" s="150"/>
      <c r="E458" s="198">
        <v>2000</v>
      </c>
      <c r="F458" s="195">
        <v>11257</v>
      </c>
      <c r="G458" s="213">
        <f t="shared" si="16"/>
        <v>562.85</v>
      </c>
      <c r="H458" s="200"/>
      <c r="I458" s="191"/>
      <c r="J458" s="191"/>
      <c r="K458" s="191"/>
    </row>
    <row r="459" spans="1:11" ht="78.75" x14ac:dyDescent="0.25">
      <c r="A459" s="139">
        <v>125</v>
      </c>
      <c r="B459" s="246" t="s">
        <v>246</v>
      </c>
      <c r="C459" s="203" t="s">
        <v>197</v>
      </c>
      <c r="D459" s="145" t="s">
        <v>16</v>
      </c>
      <c r="E459" s="195">
        <v>1400</v>
      </c>
      <c r="F459" s="195">
        <v>34300</v>
      </c>
      <c r="G459" s="196">
        <f t="shared" si="16"/>
        <v>2450</v>
      </c>
      <c r="H459" s="197">
        <v>100</v>
      </c>
      <c r="I459" s="143"/>
      <c r="J459" s="149" t="s">
        <v>399</v>
      </c>
      <c r="K459" s="143"/>
    </row>
    <row r="460" spans="1:11" s="155" customFormat="1" ht="19.5" x14ac:dyDescent="0.25">
      <c r="A460" s="189"/>
      <c r="B460" s="151" t="s">
        <v>19</v>
      </c>
      <c r="C460" s="205"/>
      <c r="D460" s="150"/>
      <c r="E460" s="212">
        <v>1400</v>
      </c>
      <c r="F460" s="198">
        <v>34300</v>
      </c>
      <c r="G460" s="213">
        <f t="shared" si="16"/>
        <v>2450</v>
      </c>
      <c r="H460" s="200"/>
      <c r="I460" s="191"/>
      <c r="J460" s="191"/>
      <c r="K460" s="191"/>
    </row>
    <row r="461" spans="1:11" ht="78.75" x14ac:dyDescent="0.25">
      <c r="A461" s="139">
        <v>126</v>
      </c>
      <c r="B461" s="246" t="s">
        <v>247</v>
      </c>
      <c r="C461" s="203" t="s">
        <v>197</v>
      </c>
      <c r="D461" s="145" t="s">
        <v>16</v>
      </c>
      <c r="E461" s="195">
        <v>500</v>
      </c>
      <c r="F461" s="195">
        <v>500</v>
      </c>
      <c r="G461" s="196">
        <f t="shared" si="16"/>
        <v>100</v>
      </c>
      <c r="H461" s="197">
        <v>100</v>
      </c>
      <c r="I461" s="143"/>
      <c r="J461" s="149" t="s">
        <v>399</v>
      </c>
      <c r="K461" s="143"/>
    </row>
    <row r="462" spans="1:11" s="155" customFormat="1" ht="19.5" x14ac:dyDescent="0.25">
      <c r="A462" s="189"/>
      <c r="B462" s="151" t="s">
        <v>19</v>
      </c>
      <c r="C462" s="205"/>
      <c r="D462" s="150"/>
      <c r="E462" s="219">
        <v>500</v>
      </c>
      <c r="F462" s="198">
        <v>500</v>
      </c>
      <c r="G462" s="213">
        <f t="shared" si="16"/>
        <v>100</v>
      </c>
      <c r="H462" s="200"/>
      <c r="I462" s="191"/>
      <c r="J462" s="191"/>
      <c r="K462" s="191"/>
    </row>
    <row r="463" spans="1:11" ht="126" x14ac:dyDescent="0.25">
      <c r="A463" s="139">
        <v>127</v>
      </c>
      <c r="B463" s="246" t="s">
        <v>296</v>
      </c>
      <c r="C463" s="203" t="s">
        <v>204</v>
      </c>
      <c r="D463" s="145" t="s">
        <v>16</v>
      </c>
      <c r="E463" s="195">
        <v>500</v>
      </c>
      <c r="F463" s="195">
        <v>500</v>
      </c>
      <c r="G463" s="196">
        <f t="shared" si="16"/>
        <v>100</v>
      </c>
      <c r="H463" s="197">
        <v>100</v>
      </c>
      <c r="I463" s="164"/>
      <c r="J463" s="149" t="s">
        <v>399</v>
      </c>
      <c r="K463" s="143"/>
    </row>
    <row r="464" spans="1:11" s="155" customFormat="1" x14ac:dyDescent="0.25">
      <c r="A464" s="189"/>
      <c r="B464" s="151" t="s">
        <v>19</v>
      </c>
      <c r="C464" s="205"/>
      <c r="D464" s="150"/>
      <c r="E464" s="212">
        <v>500</v>
      </c>
      <c r="F464" s="212">
        <v>500</v>
      </c>
      <c r="G464" s="213">
        <f t="shared" si="16"/>
        <v>100</v>
      </c>
      <c r="H464" s="200"/>
      <c r="I464" s="206"/>
      <c r="J464" s="211"/>
      <c r="K464" s="211"/>
    </row>
    <row r="465" spans="1:11" ht="63" x14ac:dyDescent="0.25">
      <c r="A465" s="139">
        <v>128</v>
      </c>
      <c r="B465" s="246" t="s">
        <v>249</v>
      </c>
      <c r="C465" s="203" t="s">
        <v>204</v>
      </c>
      <c r="D465" s="145" t="s">
        <v>16</v>
      </c>
      <c r="E465" s="195">
        <v>500</v>
      </c>
      <c r="F465" s="195">
        <v>500</v>
      </c>
      <c r="G465" s="196">
        <f t="shared" si="16"/>
        <v>100</v>
      </c>
      <c r="H465" s="197">
        <v>100</v>
      </c>
      <c r="I465" s="164"/>
      <c r="J465" s="149" t="s">
        <v>399</v>
      </c>
      <c r="K465" s="143"/>
    </row>
    <row r="466" spans="1:11" s="155" customFormat="1" ht="19.5" x14ac:dyDescent="0.25">
      <c r="A466" s="189"/>
      <c r="B466" s="151" t="s">
        <v>19</v>
      </c>
      <c r="C466" s="205"/>
      <c r="D466" s="150"/>
      <c r="E466" s="212">
        <v>500</v>
      </c>
      <c r="F466" s="212">
        <v>500</v>
      </c>
      <c r="G466" s="213">
        <f t="shared" si="16"/>
        <v>100</v>
      </c>
      <c r="H466" s="200"/>
      <c r="I466" s="206"/>
      <c r="J466" s="206"/>
      <c r="K466" s="191"/>
    </row>
    <row r="467" spans="1:11" ht="157.5" x14ac:dyDescent="0.25">
      <c r="A467" s="139">
        <v>129</v>
      </c>
      <c r="B467" s="246" t="s">
        <v>250</v>
      </c>
      <c r="C467" s="203" t="s">
        <v>204</v>
      </c>
      <c r="D467" s="145" t="s">
        <v>16</v>
      </c>
      <c r="E467" s="195">
        <v>200</v>
      </c>
      <c r="F467" s="195">
        <v>200</v>
      </c>
      <c r="G467" s="196">
        <f t="shared" si="16"/>
        <v>100</v>
      </c>
      <c r="H467" s="197">
        <v>100</v>
      </c>
      <c r="I467" s="164"/>
      <c r="J467" s="149" t="s">
        <v>399</v>
      </c>
      <c r="K467" s="149"/>
    </row>
    <row r="468" spans="1:11" s="155" customFormat="1" ht="19.5" x14ac:dyDescent="0.25">
      <c r="A468" s="189"/>
      <c r="B468" s="151" t="s">
        <v>19</v>
      </c>
      <c r="C468" s="205"/>
      <c r="D468" s="150"/>
      <c r="E468" s="212">
        <v>200</v>
      </c>
      <c r="F468" s="212">
        <v>200</v>
      </c>
      <c r="G468" s="213">
        <f t="shared" si="16"/>
        <v>100</v>
      </c>
      <c r="H468" s="200"/>
      <c r="I468" s="206"/>
      <c r="J468" s="158"/>
      <c r="K468" s="191"/>
    </row>
    <row r="469" spans="1:11" s="155" customFormat="1" ht="94.5" x14ac:dyDescent="0.25">
      <c r="A469" s="139">
        <v>130</v>
      </c>
      <c r="B469" s="246" t="s">
        <v>497</v>
      </c>
      <c r="C469" s="203" t="s">
        <v>204</v>
      </c>
      <c r="D469" s="145">
        <v>2018</v>
      </c>
      <c r="E469" s="195">
        <v>22500</v>
      </c>
      <c r="F469" s="195">
        <v>22500</v>
      </c>
      <c r="G469" s="213"/>
      <c r="H469" s="197">
        <v>100</v>
      </c>
      <c r="I469" s="206"/>
      <c r="J469" s="246" t="s">
        <v>380</v>
      </c>
      <c r="K469" s="191"/>
    </row>
    <row r="470" spans="1:11" s="155" customFormat="1" ht="19.5" x14ac:dyDescent="0.25">
      <c r="A470" s="189"/>
      <c r="B470" s="151" t="s">
        <v>19</v>
      </c>
      <c r="C470" s="205"/>
      <c r="D470" s="150"/>
      <c r="E470" s="198">
        <v>22500</v>
      </c>
      <c r="F470" s="198">
        <v>22500</v>
      </c>
      <c r="G470" s="213">
        <f t="shared" si="16"/>
        <v>100</v>
      </c>
      <c r="H470" s="200"/>
      <c r="I470" s="206"/>
      <c r="J470" s="158"/>
      <c r="K470" s="191"/>
    </row>
    <row r="471" spans="1:11" ht="94.5" x14ac:dyDescent="0.25">
      <c r="A471" s="139">
        <v>131</v>
      </c>
      <c r="B471" s="246" t="s">
        <v>297</v>
      </c>
      <c r="C471" s="203" t="s">
        <v>204</v>
      </c>
      <c r="D471" s="145" t="s">
        <v>298</v>
      </c>
      <c r="E471" s="195">
        <f>E472+E473</f>
        <v>200000</v>
      </c>
      <c r="F471" s="195">
        <f>F472+F473</f>
        <v>200000</v>
      </c>
      <c r="G471" s="196">
        <f t="shared" si="16"/>
        <v>100</v>
      </c>
      <c r="H471" s="197">
        <v>100</v>
      </c>
      <c r="I471" s="203"/>
      <c r="J471" s="246" t="s">
        <v>380</v>
      </c>
      <c r="K471" s="246"/>
    </row>
    <row r="472" spans="1:11" s="155" customFormat="1" ht="19.5" x14ac:dyDescent="0.25">
      <c r="A472" s="189"/>
      <c r="B472" s="151" t="s">
        <v>19</v>
      </c>
      <c r="C472" s="205"/>
      <c r="D472" s="150"/>
      <c r="E472" s="212"/>
      <c r="F472" s="212"/>
      <c r="G472" s="213"/>
      <c r="H472" s="200"/>
      <c r="I472" s="206"/>
      <c r="J472" s="206"/>
      <c r="K472" s="191"/>
    </row>
    <row r="473" spans="1:11" s="155" customFormat="1" ht="19.5" x14ac:dyDescent="0.25">
      <c r="A473" s="189"/>
      <c r="B473" s="151" t="s">
        <v>22</v>
      </c>
      <c r="C473" s="205"/>
      <c r="D473" s="150"/>
      <c r="E473" s="212">
        <v>200000</v>
      </c>
      <c r="F473" s="212">
        <v>200000</v>
      </c>
      <c r="G473" s="213">
        <f t="shared" si="16"/>
        <v>100</v>
      </c>
      <c r="H473" s="200"/>
      <c r="I473" s="206"/>
      <c r="J473" s="206"/>
      <c r="K473" s="191"/>
    </row>
    <row r="474" spans="1:11" ht="126" x14ac:dyDescent="0.25">
      <c r="A474" s="139">
        <v>132</v>
      </c>
      <c r="B474" s="246" t="s">
        <v>251</v>
      </c>
      <c r="C474" s="203" t="s">
        <v>204</v>
      </c>
      <c r="D474" s="145" t="s">
        <v>16</v>
      </c>
      <c r="E474" s="195">
        <v>300</v>
      </c>
      <c r="F474" s="195">
        <v>300</v>
      </c>
      <c r="G474" s="196">
        <f t="shared" ref="G474:G508" si="17">F474/E474*100</f>
        <v>100</v>
      </c>
      <c r="H474" s="197">
        <v>100</v>
      </c>
      <c r="I474" s="164"/>
      <c r="J474" s="149" t="s">
        <v>399</v>
      </c>
      <c r="K474" s="143"/>
    </row>
    <row r="475" spans="1:11" s="155" customFormat="1" ht="19.5" x14ac:dyDescent="0.25">
      <c r="A475" s="189"/>
      <c r="B475" s="151" t="s">
        <v>19</v>
      </c>
      <c r="C475" s="205"/>
      <c r="D475" s="150"/>
      <c r="E475" s="212">
        <v>300</v>
      </c>
      <c r="F475" s="198">
        <v>300</v>
      </c>
      <c r="G475" s="213">
        <f t="shared" si="17"/>
        <v>100</v>
      </c>
      <c r="H475" s="200"/>
      <c r="I475" s="206"/>
      <c r="J475" s="206"/>
      <c r="K475" s="191"/>
    </row>
    <row r="476" spans="1:11" ht="94.5" x14ac:dyDescent="0.25">
      <c r="A476" s="139">
        <v>133</v>
      </c>
      <c r="B476" s="246" t="s">
        <v>252</v>
      </c>
      <c r="C476" s="203" t="s">
        <v>204</v>
      </c>
      <c r="D476" s="145" t="s">
        <v>16</v>
      </c>
      <c r="E476" s="195">
        <v>400</v>
      </c>
      <c r="F476" s="195">
        <v>400</v>
      </c>
      <c r="G476" s="196">
        <f t="shared" si="17"/>
        <v>100</v>
      </c>
      <c r="H476" s="197">
        <v>100</v>
      </c>
      <c r="I476" s="164"/>
      <c r="J476" s="149" t="s">
        <v>399</v>
      </c>
      <c r="K476" s="143"/>
    </row>
    <row r="477" spans="1:11" s="155" customFormat="1" ht="19.5" x14ac:dyDescent="0.25">
      <c r="A477" s="189"/>
      <c r="B477" s="151" t="s">
        <v>19</v>
      </c>
      <c r="C477" s="205"/>
      <c r="D477" s="150"/>
      <c r="E477" s="212">
        <v>400</v>
      </c>
      <c r="F477" s="198">
        <v>400</v>
      </c>
      <c r="G477" s="213">
        <f t="shared" si="17"/>
        <v>100</v>
      </c>
      <c r="H477" s="200"/>
      <c r="I477" s="206"/>
      <c r="J477" s="206"/>
      <c r="K477" s="191"/>
    </row>
    <row r="478" spans="1:11" ht="94.5" x14ac:dyDescent="0.25">
      <c r="A478" s="139">
        <v>134</v>
      </c>
      <c r="B478" s="246" t="s">
        <v>253</v>
      </c>
      <c r="C478" s="203" t="s">
        <v>204</v>
      </c>
      <c r="D478" s="145" t="s">
        <v>16</v>
      </c>
      <c r="E478" s="195">
        <v>300</v>
      </c>
      <c r="F478" s="195">
        <v>843.7</v>
      </c>
      <c r="G478" s="196">
        <f t="shared" si="17"/>
        <v>281.23333333333335</v>
      </c>
      <c r="H478" s="197">
        <v>100</v>
      </c>
      <c r="I478" s="164"/>
      <c r="J478" s="149" t="s">
        <v>399</v>
      </c>
      <c r="K478" s="143"/>
    </row>
    <row r="479" spans="1:11" s="155" customFormat="1" ht="19.5" x14ac:dyDescent="0.25">
      <c r="A479" s="189"/>
      <c r="B479" s="151" t="s">
        <v>19</v>
      </c>
      <c r="C479" s="205"/>
      <c r="D479" s="150"/>
      <c r="E479" s="212">
        <v>300</v>
      </c>
      <c r="F479" s="198">
        <v>843.7</v>
      </c>
      <c r="G479" s="213">
        <f t="shared" si="17"/>
        <v>281.23333333333335</v>
      </c>
      <c r="H479" s="200"/>
      <c r="I479" s="206"/>
      <c r="J479" s="206"/>
      <c r="K479" s="191"/>
    </row>
    <row r="480" spans="1:11" ht="63" x14ac:dyDescent="0.25">
      <c r="A480" s="139">
        <v>135</v>
      </c>
      <c r="B480" s="246" t="s">
        <v>254</v>
      </c>
      <c r="C480" s="203" t="s">
        <v>204</v>
      </c>
      <c r="D480" s="145" t="s">
        <v>16</v>
      </c>
      <c r="E480" s="195">
        <f t="shared" ref="E480:F482" si="18">E484</f>
        <v>21000</v>
      </c>
      <c r="F480" s="195">
        <f t="shared" si="18"/>
        <v>32076.82</v>
      </c>
      <c r="G480" s="196">
        <f t="shared" si="17"/>
        <v>152.74676190476191</v>
      </c>
      <c r="H480" s="197">
        <v>100</v>
      </c>
      <c r="I480" s="164"/>
      <c r="J480" s="149" t="s">
        <v>399</v>
      </c>
      <c r="K480" s="143"/>
    </row>
    <row r="481" spans="1:11" s="155" customFormat="1" ht="19.5" x14ac:dyDescent="0.25">
      <c r="A481" s="189"/>
      <c r="B481" s="151" t="s">
        <v>22</v>
      </c>
      <c r="C481" s="205"/>
      <c r="D481" s="150"/>
      <c r="E481" s="212">
        <f t="shared" si="18"/>
        <v>10000</v>
      </c>
      <c r="F481" s="212">
        <f t="shared" si="18"/>
        <v>10000</v>
      </c>
      <c r="G481" s="213">
        <f t="shared" si="17"/>
        <v>100</v>
      </c>
      <c r="H481" s="200"/>
      <c r="I481" s="206"/>
      <c r="J481" s="206"/>
      <c r="K481" s="191"/>
    </row>
    <row r="482" spans="1:11" s="155" customFormat="1" ht="19.5" x14ac:dyDescent="0.25">
      <c r="A482" s="189"/>
      <c r="B482" s="151" t="s">
        <v>19</v>
      </c>
      <c r="C482" s="205"/>
      <c r="D482" s="150"/>
      <c r="E482" s="212">
        <f t="shared" si="18"/>
        <v>11000</v>
      </c>
      <c r="F482" s="212">
        <f t="shared" si="18"/>
        <v>22076.82</v>
      </c>
      <c r="G482" s="213">
        <f t="shared" si="17"/>
        <v>200.69836363636364</v>
      </c>
      <c r="H482" s="200"/>
      <c r="I482" s="206"/>
      <c r="J482" s="206"/>
      <c r="K482" s="191"/>
    </row>
    <row r="483" spans="1:11" ht="19.5" x14ac:dyDescent="0.25">
      <c r="A483" s="139"/>
      <c r="B483" s="164" t="s">
        <v>155</v>
      </c>
      <c r="C483" s="220"/>
      <c r="D483" s="220"/>
      <c r="E483" s="214"/>
      <c r="F483" s="214"/>
      <c r="G483" s="215"/>
      <c r="H483" s="197"/>
      <c r="I483" s="164"/>
      <c r="J483" s="164"/>
      <c r="K483" s="143"/>
    </row>
    <row r="484" spans="1:11" ht="47.25" x14ac:dyDescent="0.25">
      <c r="A484" s="139"/>
      <c r="B484" s="246" t="s">
        <v>255</v>
      </c>
      <c r="C484" s="220"/>
      <c r="D484" s="220"/>
      <c r="E484" s="214">
        <f>E485+E486</f>
        <v>21000</v>
      </c>
      <c r="F484" s="214">
        <f>F485+F486</f>
        <v>32076.82</v>
      </c>
      <c r="G484" s="215">
        <f t="shared" si="17"/>
        <v>152.74676190476191</v>
      </c>
      <c r="H484" s="197"/>
      <c r="I484" s="164"/>
      <c r="J484" s="164"/>
      <c r="K484" s="143"/>
    </row>
    <row r="485" spans="1:11" s="155" customFormat="1" ht="19.5" x14ac:dyDescent="0.25">
      <c r="A485" s="189"/>
      <c r="B485" s="151" t="s">
        <v>22</v>
      </c>
      <c r="C485" s="221"/>
      <c r="D485" s="221"/>
      <c r="E485" s="212">
        <v>10000</v>
      </c>
      <c r="F485" s="212">
        <v>10000</v>
      </c>
      <c r="G485" s="213">
        <f t="shared" si="17"/>
        <v>100</v>
      </c>
      <c r="H485" s="200"/>
      <c r="I485" s="206"/>
      <c r="J485" s="206"/>
      <c r="K485" s="191"/>
    </row>
    <row r="486" spans="1:11" s="155" customFormat="1" x14ac:dyDescent="0.25">
      <c r="A486" s="189"/>
      <c r="B486" s="151" t="s">
        <v>19</v>
      </c>
      <c r="C486" s="221"/>
      <c r="D486" s="221"/>
      <c r="E486" s="212">
        <v>11000</v>
      </c>
      <c r="F486" s="212">
        <v>22076.82</v>
      </c>
      <c r="G486" s="213">
        <f t="shared" si="17"/>
        <v>200.69836363636364</v>
      </c>
      <c r="H486" s="200"/>
      <c r="I486" s="206"/>
      <c r="J486" s="211"/>
      <c r="K486" s="211"/>
    </row>
    <row r="487" spans="1:11" ht="63" x14ac:dyDescent="0.25">
      <c r="A487" s="139">
        <v>136</v>
      </c>
      <c r="B487" s="246" t="s">
        <v>256</v>
      </c>
      <c r="C487" s="203" t="s">
        <v>204</v>
      </c>
      <c r="D487" s="145" t="s">
        <v>16</v>
      </c>
      <c r="E487" s="195">
        <v>3500</v>
      </c>
      <c r="F487" s="195">
        <v>3500</v>
      </c>
      <c r="G487" s="196">
        <f t="shared" si="17"/>
        <v>100</v>
      </c>
      <c r="H487" s="197">
        <v>100</v>
      </c>
      <c r="I487" s="164"/>
      <c r="J487" s="149" t="s">
        <v>399</v>
      </c>
      <c r="K487" s="143"/>
    </row>
    <row r="488" spans="1:11" s="155" customFormat="1" ht="19.5" x14ac:dyDescent="0.25">
      <c r="A488" s="189"/>
      <c r="B488" s="151" t="s">
        <v>19</v>
      </c>
      <c r="C488" s="221"/>
      <c r="D488" s="221"/>
      <c r="E488" s="198">
        <v>3500</v>
      </c>
      <c r="F488" s="198">
        <v>3500</v>
      </c>
      <c r="G488" s="213">
        <f t="shared" si="17"/>
        <v>100</v>
      </c>
      <c r="H488" s="200"/>
      <c r="I488" s="206"/>
      <c r="J488" s="206"/>
      <c r="K488" s="191"/>
    </row>
    <row r="489" spans="1:11" ht="94.5" x14ac:dyDescent="0.25">
      <c r="A489" s="139">
        <v>137</v>
      </c>
      <c r="B489" s="246" t="s">
        <v>257</v>
      </c>
      <c r="C489" s="203" t="s">
        <v>204</v>
      </c>
      <c r="D489" s="145" t="s">
        <v>16</v>
      </c>
      <c r="E489" s="195">
        <v>700</v>
      </c>
      <c r="F489" s="195">
        <v>700</v>
      </c>
      <c r="G489" s="196">
        <f t="shared" si="17"/>
        <v>100</v>
      </c>
      <c r="H489" s="197">
        <v>100</v>
      </c>
      <c r="I489" s="164"/>
      <c r="J489" s="149" t="s">
        <v>399</v>
      </c>
      <c r="K489" s="143"/>
    </row>
    <row r="490" spans="1:11" s="155" customFormat="1" ht="19.5" x14ac:dyDescent="0.25">
      <c r="A490" s="189"/>
      <c r="B490" s="151" t="s">
        <v>19</v>
      </c>
      <c r="C490" s="221"/>
      <c r="D490" s="221"/>
      <c r="E490" s="212">
        <v>700</v>
      </c>
      <c r="F490" s="212">
        <v>700</v>
      </c>
      <c r="G490" s="213">
        <f t="shared" si="17"/>
        <v>100</v>
      </c>
      <c r="H490" s="200"/>
      <c r="I490" s="206"/>
      <c r="J490" s="206"/>
      <c r="K490" s="191"/>
    </row>
    <row r="491" spans="1:11" ht="94.5" x14ac:dyDescent="0.25">
      <c r="A491" s="139">
        <v>138</v>
      </c>
      <c r="B491" s="246" t="s">
        <v>258</v>
      </c>
      <c r="C491" s="203" t="s">
        <v>206</v>
      </c>
      <c r="D491" s="145" t="s">
        <v>16</v>
      </c>
      <c r="E491" s="195">
        <v>300</v>
      </c>
      <c r="F491" s="195">
        <v>299.70999999999998</v>
      </c>
      <c r="G491" s="196">
        <f t="shared" si="17"/>
        <v>99.903333333333322</v>
      </c>
      <c r="H491" s="197">
        <v>100</v>
      </c>
      <c r="I491" s="143"/>
      <c r="J491" s="149" t="s">
        <v>399</v>
      </c>
      <c r="K491" s="143"/>
    </row>
    <row r="492" spans="1:11" s="155" customFormat="1" ht="19.5" x14ac:dyDescent="0.25">
      <c r="A492" s="189"/>
      <c r="B492" s="151" t="s">
        <v>22</v>
      </c>
      <c r="C492" s="221"/>
      <c r="D492" s="221"/>
      <c r="E492" s="212">
        <v>300</v>
      </c>
      <c r="F492" s="198">
        <v>299.70999999999998</v>
      </c>
      <c r="G492" s="213">
        <f t="shared" si="17"/>
        <v>99.903333333333322</v>
      </c>
      <c r="H492" s="200"/>
      <c r="I492" s="191"/>
      <c r="J492" s="191"/>
      <c r="K492" s="191"/>
    </row>
    <row r="493" spans="1:11" ht="94.5" x14ac:dyDescent="0.25">
      <c r="A493" s="139">
        <v>139</v>
      </c>
      <c r="B493" s="246" t="s">
        <v>259</v>
      </c>
      <c r="C493" s="203" t="s">
        <v>206</v>
      </c>
      <c r="D493" s="145" t="s">
        <v>16</v>
      </c>
      <c r="E493" s="195">
        <v>600</v>
      </c>
      <c r="F493" s="195">
        <v>599.94000000000005</v>
      </c>
      <c r="G493" s="196">
        <f t="shared" si="17"/>
        <v>99.990000000000009</v>
      </c>
      <c r="H493" s="197">
        <v>100</v>
      </c>
      <c r="I493" s="143"/>
      <c r="J493" s="149" t="s">
        <v>399</v>
      </c>
      <c r="K493" s="143"/>
    </row>
    <row r="494" spans="1:11" s="155" customFormat="1" ht="19.5" x14ac:dyDescent="0.25">
      <c r="A494" s="189"/>
      <c r="B494" s="151" t="s">
        <v>22</v>
      </c>
      <c r="C494" s="221"/>
      <c r="D494" s="221"/>
      <c r="E494" s="212">
        <v>600</v>
      </c>
      <c r="F494" s="198">
        <v>599.94000000000005</v>
      </c>
      <c r="G494" s="213">
        <f t="shared" si="17"/>
        <v>99.990000000000009</v>
      </c>
      <c r="H494" s="200"/>
      <c r="I494" s="191"/>
      <c r="J494" s="191"/>
      <c r="K494" s="191"/>
    </row>
    <row r="495" spans="1:11" ht="78.75" x14ac:dyDescent="0.25">
      <c r="A495" s="139">
        <v>140</v>
      </c>
      <c r="B495" s="246" t="s">
        <v>260</v>
      </c>
      <c r="C495" s="203" t="s">
        <v>206</v>
      </c>
      <c r="D495" s="145" t="s">
        <v>16</v>
      </c>
      <c r="E495" s="195">
        <v>2500</v>
      </c>
      <c r="F495" s="195">
        <v>2500</v>
      </c>
      <c r="G495" s="196">
        <f t="shared" si="17"/>
        <v>100</v>
      </c>
      <c r="H495" s="197">
        <v>100</v>
      </c>
      <c r="I495" s="143"/>
      <c r="J495" s="149" t="s">
        <v>399</v>
      </c>
      <c r="K495" s="143"/>
    </row>
    <row r="496" spans="1:11" s="155" customFormat="1" ht="19.5" x14ac:dyDescent="0.25">
      <c r="A496" s="189"/>
      <c r="B496" s="151" t="s">
        <v>22</v>
      </c>
      <c r="C496" s="221"/>
      <c r="D496" s="221"/>
      <c r="E496" s="198">
        <v>2500</v>
      </c>
      <c r="F496" s="198">
        <v>2500</v>
      </c>
      <c r="G496" s="213">
        <f t="shared" si="17"/>
        <v>100</v>
      </c>
      <c r="H496" s="200"/>
      <c r="I496" s="191"/>
      <c r="J496" s="191"/>
      <c r="K496" s="191"/>
    </row>
    <row r="497" spans="1:11" ht="78.75" x14ac:dyDescent="0.25">
      <c r="A497" s="139">
        <v>141</v>
      </c>
      <c r="B497" s="246" t="s">
        <v>261</v>
      </c>
      <c r="C497" s="203" t="s">
        <v>206</v>
      </c>
      <c r="D497" s="145" t="s">
        <v>16</v>
      </c>
      <c r="E497" s="195">
        <v>1000</v>
      </c>
      <c r="F497" s="195">
        <v>971.28</v>
      </c>
      <c r="G497" s="196">
        <f t="shared" si="17"/>
        <v>97.127999999999986</v>
      </c>
      <c r="H497" s="197">
        <v>100</v>
      </c>
      <c r="I497" s="143"/>
      <c r="J497" s="149" t="s">
        <v>399</v>
      </c>
      <c r="K497" s="143"/>
    </row>
    <row r="498" spans="1:11" s="155" customFormat="1" ht="19.5" x14ac:dyDescent="0.25">
      <c r="A498" s="189"/>
      <c r="B498" s="151" t="s">
        <v>22</v>
      </c>
      <c r="C498" s="221"/>
      <c r="D498" s="221"/>
      <c r="E498" s="198">
        <v>1000</v>
      </c>
      <c r="F498" s="198">
        <v>971.28</v>
      </c>
      <c r="G498" s="213">
        <f t="shared" si="17"/>
        <v>97.127999999999986</v>
      </c>
      <c r="H498" s="200"/>
      <c r="I498" s="191"/>
      <c r="J498" s="191"/>
      <c r="K498" s="191"/>
    </row>
    <row r="499" spans="1:11" s="155" customFormat="1" ht="78.75" x14ac:dyDescent="0.25">
      <c r="A499" s="139">
        <v>142</v>
      </c>
      <c r="B499" s="246" t="s">
        <v>498</v>
      </c>
      <c r="C499" s="203" t="s">
        <v>206</v>
      </c>
      <c r="D499" s="145" t="s">
        <v>486</v>
      </c>
      <c r="E499" s="195">
        <v>400</v>
      </c>
      <c r="F499" s="195">
        <v>398.52</v>
      </c>
      <c r="G499" s="196">
        <f t="shared" si="17"/>
        <v>99.63</v>
      </c>
      <c r="H499" s="197">
        <v>100</v>
      </c>
      <c r="I499" s="191"/>
      <c r="J499" s="149" t="s">
        <v>435</v>
      </c>
      <c r="K499" s="191"/>
    </row>
    <row r="500" spans="1:11" s="155" customFormat="1" ht="19.5" x14ac:dyDescent="0.25">
      <c r="A500" s="189"/>
      <c r="B500" s="151" t="s">
        <v>22</v>
      </c>
      <c r="C500" s="221"/>
      <c r="D500" s="221"/>
      <c r="E500" s="198">
        <v>400</v>
      </c>
      <c r="F500" s="198">
        <v>398.52</v>
      </c>
      <c r="G500" s="199">
        <f t="shared" si="17"/>
        <v>99.63</v>
      </c>
      <c r="H500" s="200"/>
      <c r="I500" s="191"/>
      <c r="J500" s="191"/>
      <c r="K500" s="191"/>
    </row>
    <row r="501" spans="1:11" ht="63" x14ac:dyDescent="0.25">
      <c r="A501" s="139">
        <v>143</v>
      </c>
      <c r="B501" s="246" t="s">
        <v>262</v>
      </c>
      <c r="C501" s="203" t="s">
        <v>208</v>
      </c>
      <c r="D501" s="145" t="s">
        <v>16</v>
      </c>
      <c r="E501" s="195">
        <v>13000</v>
      </c>
      <c r="F501" s="195">
        <v>12991.1</v>
      </c>
      <c r="G501" s="196">
        <f t="shared" si="17"/>
        <v>99.931538461538466</v>
      </c>
      <c r="H501" s="197">
        <v>100</v>
      </c>
      <c r="I501" s="143"/>
      <c r="J501" s="149" t="s">
        <v>399</v>
      </c>
      <c r="K501" s="149"/>
    </row>
    <row r="502" spans="1:11" s="155" customFormat="1" ht="19.5" x14ac:dyDescent="0.25">
      <c r="A502" s="189"/>
      <c r="B502" s="151" t="s">
        <v>22</v>
      </c>
      <c r="C502" s="205"/>
      <c r="D502" s="150"/>
      <c r="E502" s="198">
        <v>13000</v>
      </c>
      <c r="F502" s="198">
        <v>12991.1</v>
      </c>
      <c r="G502" s="213">
        <f t="shared" si="17"/>
        <v>99.931538461538466</v>
      </c>
      <c r="H502" s="200"/>
      <c r="I502" s="191"/>
      <c r="J502" s="208"/>
      <c r="K502" s="191"/>
    </row>
    <row r="503" spans="1:11" ht="19.5" x14ac:dyDescent="0.25">
      <c r="A503" s="139"/>
      <c r="B503" s="159" t="s">
        <v>54</v>
      </c>
      <c r="C503" s="203"/>
      <c r="D503" s="145"/>
      <c r="E503" s="222">
        <f>E504+E505+E506</f>
        <v>405618</v>
      </c>
      <c r="F503" s="222">
        <f>F504+F505+F506</f>
        <v>506351.25</v>
      </c>
      <c r="G503" s="223">
        <f t="shared" si="17"/>
        <v>124.83451178202152</v>
      </c>
      <c r="H503" s="197"/>
      <c r="I503" s="143"/>
      <c r="J503" s="143"/>
      <c r="K503" s="143"/>
    </row>
    <row r="504" spans="1:11" s="155" customFormat="1" ht="19.5" x14ac:dyDescent="0.25">
      <c r="A504" s="189"/>
      <c r="B504" s="151" t="s">
        <v>13</v>
      </c>
      <c r="C504" s="205"/>
      <c r="D504" s="150"/>
      <c r="E504" s="212">
        <f>E372+E378+E391+E438+E446+E448+E450</f>
        <v>25918</v>
      </c>
      <c r="F504" s="212">
        <f>F372+F378+F391+F438+F446+F448+F450</f>
        <v>25901.16</v>
      </c>
      <c r="G504" s="213">
        <f t="shared" si="17"/>
        <v>99.935025850760084</v>
      </c>
      <c r="H504" s="200"/>
      <c r="I504" s="191"/>
      <c r="J504" s="191"/>
      <c r="K504" s="191"/>
    </row>
    <row r="505" spans="1:11" s="155" customFormat="1" ht="19.5" x14ac:dyDescent="0.25">
      <c r="A505" s="189"/>
      <c r="B505" s="151" t="s">
        <v>22</v>
      </c>
      <c r="C505" s="205"/>
      <c r="D505" s="150"/>
      <c r="E505" s="212">
        <f>E473+E481+E492+E494+E496+E498+E500+E502</f>
        <v>227800</v>
      </c>
      <c r="F505" s="212">
        <f>F473+F481+F492+F494+F496+F498+F500+F502</f>
        <v>227760.55</v>
      </c>
      <c r="G505" s="213">
        <f t="shared" si="17"/>
        <v>99.982682177348551</v>
      </c>
      <c r="H505" s="200"/>
      <c r="I505" s="191"/>
      <c r="J505" s="208"/>
      <c r="K505" s="208"/>
    </row>
    <row r="506" spans="1:11" s="155" customFormat="1" ht="19.5" x14ac:dyDescent="0.25">
      <c r="A506" s="189"/>
      <c r="B506" s="151" t="s">
        <v>19</v>
      </c>
      <c r="C506" s="205"/>
      <c r="D506" s="150"/>
      <c r="E506" s="212">
        <f>E343+E349+E355+E361+E366+E379+E392+E400+E406+E410+E414+E418+E422+E426+E428+E433+E440+E442+E444+E452+E454+E456+E458+E460+E462+E464+E466+E468+E470+E472+E475+E477+E479+E482+E488+E490+E424</f>
        <v>151900</v>
      </c>
      <c r="F506" s="212">
        <f>F343+F349+F355+F361+F366+F379+F392+F400+F406+F410+F414+F418+F422+F426+F428+F433+F440+F442+F444+F452+F454+F456+F458+F460+F462+F464+F466+F468+F470+F472+F475+F477+F479+F482+F488+F490+F424</f>
        <v>252689.54</v>
      </c>
      <c r="G506" s="213">
        <f t="shared" si="17"/>
        <v>166.35256089532589</v>
      </c>
      <c r="H506" s="200"/>
      <c r="I506" s="191"/>
      <c r="J506" s="191"/>
      <c r="K506" s="191"/>
    </row>
    <row r="507" spans="1:11" ht="19.5" x14ac:dyDescent="0.25">
      <c r="A507" s="139"/>
      <c r="B507" s="165" t="s">
        <v>73</v>
      </c>
      <c r="C507" s="203"/>
      <c r="D507" s="145"/>
      <c r="E507" s="222">
        <f>E508+E509+E510</f>
        <v>4888236</v>
      </c>
      <c r="F507" s="222">
        <f>F508+F509+F510</f>
        <v>4876827.79</v>
      </c>
      <c r="G507" s="223">
        <f t="shared" si="17"/>
        <v>99.766619083039359</v>
      </c>
      <c r="H507" s="197"/>
      <c r="I507" s="143"/>
      <c r="J507" s="143"/>
      <c r="K507" s="143"/>
    </row>
    <row r="508" spans="1:11" s="155" customFormat="1" ht="19.5" x14ac:dyDescent="0.25">
      <c r="A508" s="189"/>
      <c r="B508" s="166" t="s">
        <v>13</v>
      </c>
      <c r="C508" s="205"/>
      <c r="D508" s="150"/>
      <c r="E508" s="212">
        <f>E339+E504</f>
        <v>4121665</v>
      </c>
      <c r="F508" s="212">
        <f>F339+F504</f>
        <v>4030114.53</v>
      </c>
      <c r="G508" s="213">
        <f t="shared" si="17"/>
        <v>97.778798859198886</v>
      </c>
      <c r="H508" s="200"/>
      <c r="I508" s="191"/>
      <c r="J508" s="191"/>
      <c r="K508" s="191"/>
    </row>
    <row r="509" spans="1:11" s="155" customFormat="1" ht="19.5" x14ac:dyDescent="0.25">
      <c r="A509" s="189"/>
      <c r="B509" s="166" t="s">
        <v>22</v>
      </c>
      <c r="C509" s="205"/>
      <c r="D509" s="150"/>
      <c r="E509" s="212">
        <f>E340+E505</f>
        <v>614671</v>
      </c>
      <c r="F509" s="212">
        <f>F340+F505</f>
        <v>594023.72</v>
      </c>
      <c r="G509" s="213">
        <f>F509/E509*100</f>
        <v>96.640921728859837</v>
      </c>
      <c r="H509" s="200"/>
      <c r="I509" s="191"/>
      <c r="J509" s="191"/>
      <c r="K509" s="191"/>
    </row>
    <row r="510" spans="1:11" s="155" customFormat="1" ht="19.5" x14ac:dyDescent="0.25">
      <c r="A510" s="189"/>
      <c r="B510" s="166" t="s">
        <v>53</v>
      </c>
      <c r="C510" s="205"/>
      <c r="D510" s="150"/>
      <c r="E510" s="212">
        <f>E506</f>
        <v>151900</v>
      </c>
      <c r="F510" s="212">
        <f>F506</f>
        <v>252689.54</v>
      </c>
      <c r="G510" s="213">
        <f>F510/E510*100</f>
        <v>166.35256089532589</v>
      </c>
      <c r="H510" s="200"/>
      <c r="I510" s="191"/>
      <c r="J510" s="191"/>
      <c r="K510" s="191"/>
    </row>
    <row r="511" spans="1:11" ht="19.5" x14ac:dyDescent="0.25">
      <c r="A511" s="139"/>
      <c r="B511" s="246"/>
      <c r="C511" s="129"/>
      <c r="D511" s="129"/>
      <c r="E511" s="218"/>
      <c r="F511" s="218"/>
      <c r="G511" s="218"/>
      <c r="H511" s="197"/>
      <c r="I511" s="143"/>
      <c r="J511" s="143"/>
      <c r="K511" s="143"/>
    </row>
    <row r="512" spans="1:11" ht="16.5" x14ac:dyDescent="0.25">
      <c r="A512" s="558" t="s">
        <v>307</v>
      </c>
      <c r="B512" s="558"/>
      <c r="C512" s="558"/>
      <c r="D512" s="558"/>
      <c r="E512" s="558"/>
      <c r="F512" s="558"/>
      <c r="G512" s="558"/>
      <c r="H512" s="558"/>
      <c r="I512" s="558"/>
      <c r="J512" s="558"/>
      <c r="K512" s="558"/>
    </row>
    <row r="513" spans="1:11" ht="16.5" x14ac:dyDescent="0.25">
      <c r="A513" s="550" t="s">
        <v>74</v>
      </c>
      <c r="B513" s="550"/>
      <c r="C513" s="550"/>
      <c r="D513" s="550"/>
      <c r="E513" s="550"/>
      <c r="F513" s="550"/>
      <c r="G513" s="550"/>
      <c r="H513" s="550"/>
      <c r="I513" s="550"/>
      <c r="J513" s="550"/>
      <c r="K513" s="550"/>
    </row>
    <row r="514" spans="1:11" s="179" customFormat="1" ht="94.5" x14ac:dyDescent="0.25">
      <c r="A514" s="139">
        <v>144</v>
      </c>
      <c r="B514" s="246" t="s">
        <v>75</v>
      </c>
      <c r="C514" s="145" t="s">
        <v>14</v>
      </c>
      <c r="D514" s="145" t="s">
        <v>16</v>
      </c>
      <c r="E514" s="146">
        <v>45462</v>
      </c>
      <c r="F514" s="146">
        <v>45405</v>
      </c>
      <c r="G514" s="162">
        <f t="shared" ref="G514:G525" si="19">F514/E514*100</f>
        <v>99.87462056222779</v>
      </c>
      <c r="H514" s="148">
        <v>100</v>
      </c>
      <c r="I514" s="224"/>
      <c r="J514" s="149" t="s">
        <v>433</v>
      </c>
      <c r="K514" s="145"/>
    </row>
    <row r="515" spans="1:11" s="226" customFormat="1" x14ac:dyDescent="0.25">
      <c r="A515" s="189"/>
      <c r="B515" s="151" t="s">
        <v>13</v>
      </c>
      <c r="C515" s="150"/>
      <c r="D515" s="150"/>
      <c r="E515" s="152">
        <v>45462</v>
      </c>
      <c r="F515" s="152">
        <v>45405</v>
      </c>
      <c r="G515" s="170">
        <f t="shared" si="19"/>
        <v>99.87462056222779</v>
      </c>
      <c r="H515" s="154"/>
      <c r="I515" s="225"/>
      <c r="J515" s="158"/>
      <c r="K515" s="150"/>
    </row>
    <row r="516" spans="1:11" s="179" customFormat="1" ht="94.5" x14ac:dyDescent="0.25">
      <c r="A516" s="139">
        <v>145</v>
      </c>
      <c r="B516" s="246" t="s">
        <v>76</v>
      </c>
      <c r="C516" s="145" t="s">
        <v>14</v>
      </c>
      <c r="D516" s="145" t="s">
        <v>16</v>
      </c>
      <c r="E516" s="146">
        <v>15013</v>
      </c>
      <c r="F516" s="146">
        <v>15010.2</v>
      </c>
      <c r="G516" s="162">
        <f t="shared" si="19"/>
        <v>99.981349497102514</v>
      </c>
      <c r="H516" s="148">
        <v>100</v>
      </c>
      <c r="I516" s="224"/>
      <c r="J516" s="149" t="s">
        <v>433</v>
      </c>
      <c r="K516" s="145"/>
    </row>
    <row r="517" spans="1:11" s="226" customFormat="1" x14ac:dyDescent="0.25">
      <c r="A517" s="189"/>
      <c r="B517" s="151" t="s">
        <v>13</v>
      </c>
      <c r="C517" s="150"/>
      <c r="D517" s="150"/>
      <c r="E517" s="152">
        <v>15013</v>
      </c>
      <c r="F517" s="152">
        <v>15010.2</v>
      </c>
      <c r="G517" s="170">
        <f t="shared" si="19"/>
        <v>99.981349497102514</v>
      </c>
      <c r="H517" s="154"/>
      <c r="I517" s="225"/>
      <c r="J517" s="158"/>
      <c r="K517" s="204"/>
    </row>
    <row r="518" spans="1:11" s="179" customFormat="1" ht="141.75" x14ac:dyDescent="0.25">
      <c r="A518" s="139">
        <v>146</v>
      </c>
      <c r="B518" s="246" t="s">
        <v>77</v>
      </c>
      <c r="C518" s="145" t="s">
        <v>14</v>
      </c>
      <c r="D518" s="145" t="s">
        <v>16</v>
      </c>
      <c r="E518" s="146">
        <v>8000</v>
      </c>
      <c r="F518" s="146">
        <v>7999.3</v>
      </c>
      <c r="G518" s="162">
        <f t="shared" si="19"/>
        <v>99.991249999999994</v>
      </c>
      <c r="H518" s="148">
        <v>100</v>
      </c>
      <c r="I518" s="224"/>
      <c r="J518" s="149" t="s">
        <v>433</v>
      </c>
      <c r="K518" s="145"/>
    </row>
    <row r="519" spans="1:11" s="226" customFormat="1" x14ac:dyDescent="0.25">
      <c r="A519" s="189"/>
      <c r="B519" s="151" t="s">
        <v>13</v>
      </c>
      <c r="C519" s="150"/>
      <c r="D519" s="150"/>
      <c r="E519" s="152">
        <v>8000</v>
      </c>
      <c r="F519" s="152">
        <v>7999.3</v>
      </c>
      <c r="G519" s="170">
        <f t="shared" si="19"/>
        <v>99.991249999999994</v>
      </c>
      <c r="H519" s="154"/>
      <c r="I519" s="225"/>
      <c r="J519" s="225"/>
      <c r="K519" s="150"/>
    </row>
    <row r="520" spans="1:11" s="179" customFormat="1" ht="126" x14ac:dyDescent="0.25">
      <c r="A520" s="139">
        <v>147</v>
      </c>
      <c r="B520" s="246" t="s">
        <v>78</v>
      </c>
      <c r="C520" s="145" t="s">
        <v>50</v>
      </c>
      <c r="D520" s="145" t="s">
        <v>16</v>
      </c>
      <c r="E520" s="146">
        <f>E521+E522</f>
        <v>7030</v>
      </c>
      <c r="F520" s="146">
        <f>F521+F522</f>
        <v>7030</v>
      </c>
      <c r="G520" s="162">
        <f>F520/E520*100</f>
        <v>100</v>
      </c>
      <c r="H520" s="148">
        <v>100</v>
      </c>
      <c r="I520" s="224"/>
      <c r="J520" s="149" t="s">
        <v>433</v>
      </c>
      <c r="K520" s="145"/>
    </row>
    <row r="521" spans="1:11" s="155" customFormat="1" x14ac:dyDescent="0.25">
      <c r="A521" s="189"/>
      <c r="B521" s="151" t="s">
        <v>13</v>
      </c>
      <c r="C521" s="150"/>
      <c r="D521" s="150"/>
      <c r="E521" s="152">
        <v>4530</v>
      </c>
      <c r="F521" s="152">
        <v>4530</v>
      </c>
      <c r="G521" s="170">
        <f t="shared" si="19"/>
        <v>100</v>
      </c>
      <c r="H521" s="154"/>
      <c r="I521" s="225"/>
      <c r="J521" s="158"/>
      <c r="K521" s="150"/>
    </row>
    <row r="522" spans="1:11" s="155" customFormat="1" ht="31.5" x14ac:dyDescent="0.25">
      <c r="A522" s="189"/>
      <c r="B522" s="151" t="s">
        <v>139</v>
      </c>
      <c r="C522" s="150"/>
      <c r="D522" s="150"/>
      <c r="E522" s="152">
        <v>2500</v>
      </c>
      <c r="F522" s="152">
        <v>2500</v>
      </c>
      <c r="G522" s="170">
        <f t="shared" si="19"/>
        <v>100</v>
      </c>
      <c r="H522" s="154"/>
      <c r="I522" s="225"/>
      <c r="J522" s="158"/>
      <c r="K522" s="150"/>
    </row>
    <row r="523" spans="1:11" s="179" customFormat="1" x14ac:dyDescent="0.25">
      <c r="A523" s="139"/>
      <c r="B523" s="159" t="s">
        <v>54</v>
      </c>
      <c r="C523" s="145"/>
      <c r="D523" s="145"/>
      <c r="E523" s="160">
        <f>E524+E525</f>
        <v>75505</v>
      </c>
      <c r="F523" s="160">
        <f t="shared" ref="F523" si="20">F524+F525</f>
        <v>75444.5</v>
      </c>
      <c r="G523" s="169">
        <f t="shared" si="19"/>
        <v>99.919872856102245</v>
      </c>
      <c r="H523" s="148"/>
      <c r="I523" s="224"/>
      <c r="J523" s="149"/>
      <c r="K523" s="145"/>
    </row>
    <row r="524" spans="1:11" s="226" customFormat="1" x14ac:dyDescent="0.25">
      <c r="A524" s="189"/>
      <c r="B524" s="151" t="s">
        <v>13</v>
      </c>
      <c r="C524" s="150"/>
      <c r="D524" s="150"/>
      <c r="E524" s="152">
        <f>E515+E517+E519+E521</f>
        <v>73005</v>
      </c>
      <c r="F524" s="152">
        <f>F515+F517+F519+F521</f>
        <v>72944.5</v>
      </c>
      <c r="G524" s="170">
        <f t="shared" si="19"/>
        <v>99.917128963769613</v>
      </c>
      <c r="H524" s="154"/>
      <c r="I524" s="225"/>
      <c r="J524" s="158"/>
      <c r="K524" s="150"/>
    </row>
    <row r="525" spans="1:11" s="226" customFormat="1" ht="31.5" x14ac:dyDescent="0.25">
      <c r="A525" s="189"/>
      <c r="B525" s="151" t="s">
        <v>139</v>
      </c>
      <c r="C525" s="150"/>
      <c r="D525" s="150"/>
      <c r="E525" s="152">
        <f>E522</f>
        <v>2500</v>
      </c>
      <c r="F525" s="152">
        <f>F522</f>
        <v>2500</v>
      </c>
      <c r="G525" s="170">
        <f t="shared" si="19"/>
        <v>100</v>
      </c>
      <c r="H525" s="154"/>
      <c r="I525" s="225"/>
      <c r="J525" s="225"/>
      <c r="K525" s="150"/>
    </row>
    <row r="526" spans="1:11" ht="16.5" x14ac:dyDescent="0.25">
      <c r="A526" s="139"/>
      <c r="B526" s="550" t="s">
        <v>79</v>
      </c>
      <c r="C526" s="550"/>
      <c r="D526" s="550"/>
      <c r="E526" s="550"/>
      <c r="F526" s="550"/>
      <c r="G526" s="550"/>
      <c r="H526" s="550"/>
      <c r="I526" s="550"/>
      <c r="J526" s="550"/>
      <c r="K526" s="550"/>
    </row>
    <row r="527" spans="1:11" s="179" customFormat="1" ht="126" x14ac:dyDescent="0.25">
      <c r="A527" s="139">
        <v>148</v>
      </c>
      <c r="B527" s="246" t="s">
        <v>80</v>
      </c>
      <c r="C527" s="145" t="s">
        <v>14</v>
      </c>
      <c r="D527" s="145" t="s">
        <v>16</v>
      </c>
      <c r="E527" s="146">
        <v>58500</v>
      </c>
      <c r="F527" s="146">
        <v>58498.57</v>
      </c>
      <c r="G527" s="162">
        <f t="shared" ref="G527:G540" si="21">F527/E527*100</f>
        <v>99.99755555555555</v>
      </c>
      <c r="H527" s="148">
        <v>100</v>
      </c>
      <c r="I527" s="224"/>
      <c r="J527" s="149" t="s">
        <v>433</v>
      </c>
      <c r="K527" s="188"/>
    </row>
    <row r="528" spans="1:11" s="226" customFormat="1" x14ac:dyDescent="0.25">
      <c r="A528" s="189"/>
      <c r="B528" s="151" t="s">
        <v>13</v>
      </c>
      <c r="C528" s="150"/>
      <c r="D528" s="150"/>
      <c r="E528" s="152">
        <v>58500</v>
      </c>
      <c r="F528" s="152">
        <v>58498.57</v>
      </c>
      <c r="G528" s="170">
        <f t="shared" si="21"/>
        <v>99.99755555555555</v>
      </c>
      <c r="H528" s="148">
        <v>100</v>
      </c>
      <c r="I528" s="227"/>
      <c r="J528" s="158"/>
      <c r="K528" s="204"/>
    </row>
    <row r="529" spans="1:11" s="226" customFormat="1" ht="63" x14ac:dyDescent="0.25">
      <c r="A529" s="228"/>
      <c r="B529" s="229" t="s">
        <v>499</v>
      </c>
      <c r="C529" s="145" t="s">
        <v>14</v>
      </c>
      <c r="D529" s="145" t="s">
        <v>16</v>
      </c>
      <c r="E529" s="146">
        <v>13230</v>
      </c>
      <c r="F529" s="146">
        <v>13230</v>
      </c>
      <c r="G529" s="162">
        <f t="shared" si="21"/>
        <v>100</v>
      </c>
      <c r="H529" s="148">
        <v>100</v>
      </c>
      <c r="I529" s="227"/>
      <c r="J529" s="149" t="s">
        <v>433</v>
      </c>
      <c r="K529" s="204"/>
    </row>
    <row r="530" spans="1:11" s="226" customFormat="1" x14ac:dyDescent="0.25">
      <c r="A530" s="189"/>
      <c r="B530" s="151" t="s">
        <v>13</v>
      </c>
      <c r="C530" s="150"/>
      <c r="D530" s="150"/>
      <c r="E530" s="152">
        <v>13230</v>
      </c>
      <c r="F530" s="152">
        <v>13230</v>
      </c>
      <c r="G530" s="170">
        <f t="shared" si="21"/>
        <v>100</v>
      </c>
      <c r="H530" s="154"/>
      <c r="I530" s="227"/>
      <c r="J530" s="158"/>
      <c r="K530" s="204"/>
    </row>
    <row r="531" spans="1:11" s="179" customFormat="1" ht="78.75" x14ac:dyDescent="0.25">
      <c r="A531" s="139">
        <v>149</v>
      </c>
      <c r="B531" s="246" t="s">
        <v>81</v>
      </c>
      <c r="C531" s="145" t="s">
        <v>14</v>
      </c>
      <c r="D531" s="145" t="s">
        <v>16</v>
      </c>
      <c r="E531" s="230">
        <v>10350</v>
      </c>
      <c r="F531" s="230">
        <v>10300</v>
      </c>
      <c r="G531" s="162">
        <f t="shared" si="21"/>
        <v>99.516908212560381</v>
      </c>
      <c r="H531" s="148">
        <v>100</v>
      </c>
      <c r="I531" s="224"/>
      <c r="J531" s="149" t="s">
        <v>433</v>
      </c>
      <c r="K531" s="188"/>
    </row>
    <row r="532" spans="1:11" s="226" customFormat="1" x14ac:dyDescent="0.25">
      <c r="A532" s="189"/>
      <c r="B532" s="151" t="s">
        <v>13</v>
      </c>
      <c r="C532" s="150"/>
      <c r="D532" s="231"/>
      <c r="E532" s="232">
        <v>10350</v>
      </c>
      <c r="F532" s="232">
        <v>10300</v>
      </c>
      <c r="G532" s="170">
        <f t="shared" si="21"/>
        <v>99.516908212560381</v>
      </c>
      <c r="H532" s="233"/>
      <c r="I532" s="227"/>
      <c r="J532" s="158"/>
      <c r="K532" s="204"/>
    </row>
    <row r="533" spans="1:11" s="179" customFormat="1" ht="94.5" x14ac:dyDescent="0.25">
      <c r="A533" s="139">
        <v>150</v>
      </c>
      <c r="B533" s="246" t="s">
        <v>82</v>
      </c>
      <c r="C533" s="145" t="s">
        <v>14</v>
      </c>
      <c r="D533" s="145" t="s">
        <v>16</v>
      </c>
      <c r="E533" s="230">
        <v>7920</v>
      </c>
      <c r="F533" s="230">
        <v>7900</v>
      </c>
      <c r="G533" s="162">
        <f t="shared" si="21"/>
        <v>99.747474747474755</v>
      </c>
      <c r="H533" s="148">
        <v>100</v>
      </c>
      <c r="I533" s="234"/>
      <c r="J533" s="149" t="s">
        <v>433</v>
      </c>
      <c r="K533" s="188"/>
    </row>
    <row r="534" spans="1:11" s="226" customFormat="1" x14ac:dyDescent="0.25">
      <c r="A534" s="189"/>
      <c r="B534" s="151" t="s">
        <v>13</v>
      </c>
      <c r="C534" s="150"/>
      <c r="D534" s="231"/>
      <c r="E534" s="232">
        <v>7920</v>
      </c>
      <c r="F534" s="232">
        <v>7900</v>
      </c>
      <c r="G534" s="170">
        <f t="shared" si="21"/>
        <v>99.747474747474755</v>
      </c>
      <c r="H534" s="233"/>
      <c r="I534" s="235"/>
      <c r="J534" s="235"/>
      <c r="K534" s="204"/>
    </row>
    <row r="535" spans="1:11" s="179" customFormat="1" ht="110.25" x14ac:dyDescent="0.25">
      <c r="A535" s="139">
        <v>151</v>
      </c>
      <c r="B535" s="246" t="s">
        <v>83</v>
      </c>
      <c r="C535" s="145" t="s">
        <v>14</v>
      </c>
      <c r="D535" s="145" t="s">
        <v>16</v>
      </c>
      <c r="E535" s="146">
        <v>139318</v>
      </c>
      <c r="F535" s="146">
        <v>138973.79999999999</v>
      </c>
      <c r="G535" s="162">
        <f t="shared" si="21"/>
        <v>99.752939318681001</v>
      </c>
      <c r="H535" s="148">
        <v>100</v>
      </c>
      <c r="I535" s="145"/>
      <c r="J535" s="149" t="s">
        <v>433</v>
      </c>
      <c r="K535" s="188"/>
    </row>
    <row r="536" spans="1:11" s="226" customFormat="1" x14ac:dyDescent="0.25">
      <c r="A536" s="189"/>
      <c r="B536" s="151" t="s">
        <v>13</v>
      </c>
      <c r="C536" s="150"/>
      <c r="D536" s="150"/>
      <c r="E536" s="152">
        <v>139318</v>
      </c>
      <c r="F536" s="152">
        <v>138973.79999999999</v>
      </c>
      <c r="G536" s="170">
        <f t="shared" si="21"/>
        <v>99.752939318681001</v>
      </c>
      <c r="H536" s="154"/>
      <c r="I536" s="236"/>
      <c r="J536" s="237"/>
      <c r="K536" s="204"/>
    </row>
    <row r="537" spans="1:11" s="226" customFormat="1" ht="63" x14ac:dyDescent="0.25">
      <c r="A537" s="139">
        <v>152</v>
      </c>
      <c r="B537" s="246" t="s">
        <v>299</v>
      </c>
      <c r="C537" s="145" t="s">
        <v>14</v>
      </c>
      <c r="D537" s="145" t="s">
        <v>280</v>
      </c>
      <c r="E537" s="146">
        <v>19350</v>
      </c>
      <c r="F537" s="146">
        <v>19350</v>
      </c>
      <c r="G537" s="162">
        <f t="shared" si="21"/>
        <v>100</v>
      </c>
      <c r="H537" s="148">
        <v>100</v>
      </c>
      <c r="I537" s="236"/>
      <c r="J537" s="149" t="s">
        <v>433</v>
      </c>
      <c r="K537" s="204"/>
    </row>
    <row r="538" spans="1:11" s="226" customFormat="1" x14ac:dyDescent="0.25">
      <c r="A538" s="189"/>
      <c r="B538" s="151" t="s">
        <v>13</v>
      </c>
      <c r="C538" s="150"/>
      <c r="D538" s="150"/>
      <c r="E538" s="152">
        <v>19350</v>
      </c>
      <c r="F538" s="152">
        <v>19350</v>
      </c>
      <c r="G538" s="170">
        <f t="shared" si="21"/>
        <v>100</v>
      </c>
      <c r="H538" s="154"/>
      <c r="I538" s="236"/>
      <c r="J538" s="237"/>
      <c r="K538" s="204"/>
    </row>
    <row r="539" spans="1:11" s="179" customFormat="1" x14ac:dyDescent="0.25">
      <c r="A539" s="139"/>
      <c r="B539" s="159" t="s">
        <v>54</v>
      </c>
      <c r="C539" s="145"/>
      <c r="D539" s="145"/>
      <c r="E539" s="160">
        <f>E540</f>
        <v>248668</v>
      </c>
      <c r="F539" s="160">
        <f>F540</f>
        <v>248252.37</v>
      </c>
      <c r="G539" s="169">
        <f t="shared" si="21"/>
        <v>99.832857464571234</v>
      </c>
      <c r="H539" s="154"/>
      <c r="I539" s="238"/>
      <c r="J539" s="238"/>
      <c r="K539" s="188"/>
    </row>
    <row r="540" spans="1:11" s="226" customFormat="1" x14ac:dyDescent="0.25">
      <c r="A540" s="189"/>
      <c r="B540" s="151" t="s">
        <v>13</v>
      </c>
      <c r="C540" s="150"/>
      <c r="D540" s="150"/>
      <c r="E540" s="152">
        <f>E536+E534+E532+E530+E528+E538</f>
        <v>248668</v>
      </c>
      <c r="F540" s="152">
        <f>F536+F534+F532+F530+F528+F538</f>
        <v>248252.37</v>
      </c>
      <c r="G540" s="170">
        <f t="shared" si="21"/>
        <v>99.832857464571234</v>
      </c>
      <c r="H540" s="154"/>
      <c r="I540" s="239"/>
      <c r="J540" s="239"/>
      <c r="K540" s="204"/>
    </row>
    <row r="541" spans="1:11" ht="16.5" x14ac:dyDescent="0.25">
      <c r="A541" s="550" t="s">
        <v>84</v>
      </c>
      <c r="B541" s="550"/>
      <c r="C541" s="550"/>
      <c r="D541" s="550"/>
      <c r="E541" s="550"/>
      <c r="F541" s="550"/>
      <c r="G541" s="550"/>
      <c r="H541" s="550"/>
      <c r="I541" s="550"/>
      <c r="J541" s="550"/>
      <c r="K541" s="550"/>
    </row>
    <row r="542" spans="1:11" s="179" customFormat="1" ht="110.25" x14ac:dyDescent="0.25">
      <c r="A542" s="139">
        <v>153</v>
      </c>
      <c r="B542" s="246" t="s">
        <v>85</v>
      </c>
      <c r="C542" s="145" t="s">
        <v>14</v>
      </c>
      <c r="D542" s="145" t="s">
        <v>16</v>
      </c>
      <c r="E542" s="146">
        <v>6000</v>
      </c>
      <c r="F542" s="146">
        <v>6000</v>
      </c>
      <c r="G542" s="162">
        <f t="shared" ref="G542:G549" si="22">F542/E542*100</f>
        <v>100</v>
      </c>
      <c r="H542" s="148">
        <v>100</v>
      </c>
      <c r="I542" s="238"/>
      <c r="J542" s="149" t="s">
        <v>433</v>
      </c>
      <c r="K542" s="188"/>
    </row>
    <row r="543" spans="1:11" s="226" customFormat="1" x14ac:dyDescent="0.25">
      <c r="A543" s="189"/>
      <c r="B543" s="151" t="s">
        <v>13</v>
      </c>
      <c r="C543" s="150"/>
      <c r="D543" s="150"/>
      <c r="E543" s="152">
        <v>6000</v>
      </c>
      <c r="F543" s="152">
        <v>6000</v>
      </c>
      <c r="G543" s="170">
        <f t="shared" si="22"/>
        <v>100</v>
      </c>
      <c r="H543" s="154"/>
      <c r="I543" s="239"/>
      <c r="J543" s="158"/>
      <c r="K543" s="204"/>
    </row>
    <row r="544" spans="1:11" s="179" customFormat="1" ht="94.5" x14ac:dyDescent="0.25">
      <c r="A544" s="139">
        <v>154</v>
      </c>
      <c r="B544" s="246" t="s">
        <v>86</v>
      </c>
      <c r="C544" s="145" t="s">
        <v>14</v>
      </c>
      <c r="D544" s="145" t="s">
        <v>16</v>
      </c>
      <c r="E544" s="146">
        <v>157562</v>
      </c>
      <c r="F544" s="146">
        <v>157562</v>
      </c>
      <c r="G544" s="162">
        <f t="shared" si="22"/>
        <v>100</v>
      </c>
      <c r="H544" s="148">
        <v>100</v>
      </c>
      <c r="I544" s="238"/>
      <c r="J544" s="149" t="s">
        <v>433</v>
      </c>
      <c r="K544" s="188"/>
    </row>
    <row r="545" spans="1:11" s="226" customFormat="1" x14ac:dyDescent="0.25">
      <c r="A545" s="189"/>
      <c r="B545" s="151" t="s">
        <v>13</v>
      </c>
      <c r="C545" s="150"/>
      <c r="D545" s="150"/>
      <c r="E545" s="152">
        <v>157562</v>
      </c>
      <c r="F545" s="152">
        <v>157562</v>
      </c>
      <c r="G545" s="170">
        <f t="shared" si="22"/>
        <v>100</v>
      </c>
      <c r="H545" s="154"/>
      <c r="I545" s="239"/>
      <c r="J545" s="158"/>
      <c r="K545" s="204"/>
    </row>
    <row r="546" spans="1:11" s="179" customFormat="1" ht="63" x14ac:dyDescent="0.25">
      <c r="A546" s="139">
        <v>155</v>
      </c>
      <c r="B546" s="246" t="s">
        <v>87</v>
      </c>
      <c r="C546" s="145" t="s">
        <v>14</v>
      </c>
      <c r="D546" s="145" t="s">
        <v>16</v>
      </c>
      <c r="E546" s="146">
        <v>9180</v>
      </c>
      <c r="F546" s="146">
        <v>9180</v>
      </c>
      <c r="G546" s="162">
        <f t="shared" si="22"/>
        <v>100</v>
      </c>
      <c r="H546" s="148">
        <v>100</v>
      </c>
      <c r="I546" s="238"/>
      <c r="J546" s="149" t="s">
        <v>433</v>
      </c>
      <c r="K546" s="188"/>
    </row>
    <row r="547" spans="1:11" s="226" customFormat="1" x14ac:dyDescent="0.25">
      <c r="A547" s="189"/>
      <c r="B547" s="151" t="s">
        <v>13</v>
      </c>
      <c r="C547" s="150"/>
      <c r="D547" s="150"/>
      <c r="E547" s="152">
        <v>9180</v>
      </c>
      <c r="F547" s="152">
        <v>9180</v>
      </c>
      <c r="G547" s="170">
        <f t="shared" si="22"/>
        <v>100</v>
      </c>
      <c r="H547" s="154"/>
      <c r="I547" s="239"/>
      <c r="J547" s="239"/>
      <c r="K547" s="204"/>
    </row>
    <row r="548" spans="1:11" s="179" customFormat="1" x14ac:dyDescent="0.25">
      <c r="A548" s="139"/>
      <c r="B548" s="159" t="s">
        <v>54</v>
      </c>
      <c r="C548" s="145"/>
      <c r="D548" s="145"/>
      <c r="E548" s="160">
        <f>E543+E545+E547</f>
        <v>172742</v>
      </c>
      <c r="F548" s="160">
        <f>F543+F545+F547</f>
        <v>172742</v>
      </c>
      <c r="G548" s="169">
        <f t="shared" si="22"/>
        <v>100</v>
      </c>
      <c r="H548" s="148"/>
      <c r="I548" s="238"/>
      <c r="J548" s="238"/>
      <c r="K548" s="188"/>
    </row>
    <row r="549" spans="1:11" s="226" customFormat="1" x14ac:dyDescent="0.25">
      <c r="A549" s="189"/>
      <c r="B549" s="151" t="s">
        <v>13</v>
      </c>
      <c r="C549" s="150"/>
      <c r="D549" s="150"/>
      <c r="E549" s="152">
        <f>E543+E545+E547</f>
        <v>172742</v>
      </c>
      <c r="F549" s="152">
        <f>F543+F545+F547</f>
        <v>172742</v>
      </c>
      <c r="G549" s="170">
        <f t="shared" si="22"/>
        <v>100</v>
      </c>
      <c r="H549" s="154"/>
      <c r="I549" s="239"/>
      <c r="J549" s="239"/>
      <c r="K549" s="204"/>
    </row>
    <row r="550" spans="1:11" ht="19.5" x14ac:dyDescent="0.25">
      <c r="A550" s="139"/>
      <c r="B550" s="151"/>
      <c r="C550" s="141"/>
      <c r="D550" s="141"/>
      <c r="E550" s="147"/>
      <c r="F550" s="147"/>
      <c r="G550" s="147"/>
      <c r="H550" s="142"/>
      <c r="I550" s="143"/>
      <c r="J550" s="143"/>
      <c r="K550" s="143"/>
    </row>
    <row r="551" spans="1:11" ht="16.5" x14ac:dyDescent="0.25">
      <c r="A551" s="550" t="s">
        <v>88</v>
      </c>
      <c r="B551" s="550"/>
      <c r="C551" s="550"/>
      <c r="D551" s="550"/>
      <c r="E551" s="550"/>
      <c r="F551" s="550"/>
      <c r="G551" s="550"/>
      <c r="H551" s="550"/>
      <c r="I551" s="550"/>
      <c r="J551" s="550"/>
      <c r="K551" s="550"/>
    </row>
    <row r="552" spans="1:11" s="179" customFormat="1" ht="141.75" x14ac:dyDescent="0.25">
      <c r="A552" s="139">
        <v>156</v>
      </c>
      <c r="B552" s="246" t="s">
        <v>89</v>
      </c>
      <c r="C552" s="145" t="s">
        <v>14</v>
      </c>
      <c r="D552" s="145" t="s">
        <v>16</v>
      </c>
      <c r="E552" s="146">
        <v>2250</v>
      </c>
      <c r="F552" s="146">
        <v>2250</v>
      </c>
      <c r="G552" s="162">
        <f t="shared" ref="G552:G553" si="23">F552/E552*100</f>
        <v>100</v>
      </c>
      <c r="H552" s="148">
        <v>100</v>
      </c>
      <c r="I552" s="240"/>
      <c r="J552" s="149" t="s">
        <v>433</v>
      </c>
      <c r="K552" s="188"/>
    </row>
    <row r="553" spans="1:11" s="226" customFormat="1" x14ac:dyDescent="0.25">
      <c r="A553" s="189"/>
      <c r="B553" s="151" t="s">
        <v>13</v>
      </c>
      <c r="C553" s="150"/>
      <c r="D553" s="150"/>
      <c r="E553" s="152">
        <v>2250</v>
      </c>
      <c r="F553" s="152">
        <v>2250</v>
      </c>
      <c r="G553" s="170">
        <f t="shared" si="23"/>
        <v>100</v>
      </c>
      <c r="H553" s="154"/>
      <c r="I553" s="240"/>
      <c r="J553" s="158"/>
      <c r="K553" s="204"/>
    </row>
    <row r="554" spans="1:11" s="179" customFormat="1" ht="78.75" x14ac:dyDescent="0.25">
      <c r="A554" s="139">
        <v>157</v>
      </c>
      <c r="B554" s="246" t="s">
        <v>90</v>
      </c>
      <c r="C554" s="145" t="s">
        <v>14</v>
      </c>
      <c r="D554" s="145" t="s">
        <v>16</v>
      </c>
      <c r="E554" s="146">
        <v>2430</v>
      </c>
      <c r="F554" s="146">
        <v>2430</v>
      </c>
      <c r="G554" s="162">
        <f>F554/E554*100</f>
        <v>100</v>
      </c>
      <c r="H554" s="148">
        <v>100</v>
      </c>
      <c r="I554" s="241"/>
      <c r="J554" s="149" t="s">
        <v>433</v>
      </c>
      <c r="K554" s="188"/>
    </row>
    <row r="555" spans="1:11" s="226" customFormat="1" x14ac:dyDescent="0.25">
      <c r="A555" s="189"/>
      <c r="B555" s="151" t="s">
        <v>13</v>
      </c>
      <c r="C555" s="150"/>
      <c r="D555" s="150"/>
      <c r="E555" s="152">
        <v>2430</v>
      </c>
      <c r="F555" s="152">
        <v>2430</v>
      </c>
      <c r="G555" s="170">
        <f>F555/E555*100</f>
        <v>100</v>
      </c>
      <c r="H555" s="154"/>
      <c r="I555" s="242"/>
      <c r="J555" s="158"/>
      <c r="K555" s="204"/>
    </row>
    <row r="556" spans="1:11" s="179" customFormat="1" ht="94.5" x14ac:dyDescent="0.25">
      <c r="A556" s="139">
        <v>158</v>
      </c>
      <c r="B556" s="246" t="s">
        <v>91</v>
      </c>
      <c r="C556" s="145" t="s">
        <v>92</v>
      </c>
      <c r="D556" s="145" t="s">
        <v>16</v>
      </c>
      <c r="E556" s="146">
        <v>4935</v>
      </c>
      <c r="F556" s="146">
        <v>4935</v>
      </c>
      <c r="G556" s="162">
        <f t="shared" ref="G556:G561" si="24">F556/E556*100</f>
        <v>100</v>
      </c>
      <c r="H556" s="148">
        <v>100</v>
      </c>
      <c r="I556" s="241"/>
      <c r="J556" s="149" t="s">
        <v>433</v>
      </c>
      <c r="K556" s="188"/>
    </row>
    <row r="557" spans="1:11" s="226" customFormat="1" x14ac:dyDescent="0.25">
      <c r="A557" s="189"/>
      <c r="B557" s="151" t="s">
        <v>13</v>
      </c>
      <c r="C557" s="150"/>
      <c r="D557" s="150"/>
      <c r="E557" s="152">
        <v>4935</v>
      </c>
      <c r="F557" s="152">
        <v>4935</v>
      </c>
      <c r="G557" s="170">
        <f t="shared" si="24"/>
        <v>100</v>
      </c>
      <c r="H557" s="154"/>
      <c r="I557" s="242"/>
      <c r="J557" s="158"/>
      <c r="K557" s="204"/>
    </row>
    <row r="558" spans="1:11" s="179" customFormat="1" ht="94.5" x14ac:dyDescent="0.25">
      <c r="A558" s="139">
        <v>159</v>
      </c>
      <c r="B558" s="246" t="s">
        <v>93</v>
      </c>
      <c r="C558" s="145" t="s">
        <v>92</v>
      </c>
      <c r="D558" s="145" t="s">
        <v>16</v>
      </c>
      <c r="E558" s="146">
        <v>4849</v>
      </c>
      <c r="F558" s="146">
        <v>4849</v>
      </c>
      <c r="G558" s="162">
        <f t="shared" si="24"/>
        <v>100</v>
      </c>
      <c r="H558" s="148">
        <v>100</v>
      </c>
      <c r="I558" s="241"/>
      <c r="J558" s="149" t="s">
        <v>433</v>
      </c>
      <c r="K558" s="188"/>
    </row>
    <row r="559" spans="1:11" s="226" customFormat="1" x14ac:dyDescent="0.25">
      <c r="A559" s="189"/>
      <c r="B559" s="151" t="s">
        <v>13</v>
      </c>
      <c r="C559" s="150"/>
      <c r="D559" s="150"/>
      <c r="E559" s="152">
        <v>4849</v>
      </c>
      <c r="F559" s="152">
        <v>4849</v>
      </c>
      <c r="G559" s="170">
        <f t="shared" si="24"/>
        <v>100</v>
      </c>
      <c r="H559" s="154"/>
      <c r="I559" s="242"/>
      <c r="J559" s="237"/>
      <c r="K559" s="204"/>
    </row>
    <row r="560" spans="1:11" s="179" customFormat="1" x14ac:dyDescent="0.25">
      <c r="A560" s="139"/>
      <c r="B560" s="159" t="s">
        <v>54</v>
      </c>
      <c r="C560" s="145"/>
      <c r="D560" s="145"/>
      <c r="E560" s="160">
        <f>E553+E555+E557+E559</f>
        <v>14464</v>
      </c>
      <c r="F560" s="160">
        <f>F553+F555+F557+F559</f>
        <v>14464</v>
      </c>
      <c r="G560" s="169">
        <f t="shared" si="24"/>
        <v>100</v>
      </c>
      <c r="H560" s="148"/>
      <c r="I560" s="241"/>
      <c r="J560" s="243"/>
      <c r="K560" s="188"/>
    </row>
    <row r="561" spans="1:11" s="226" customFormat="1" x14ac:dyDescent="0.25">
      <c r="A561" s="189"/>
      <c r="B561" s="151" t="s">
        <v>13</v>
      </c>
      <c r="C561" s="150"/>
      <c r="D561" s="150"/>
      <c r="E561" s="152">
        <f>E553+E555+E557+E559</f>
        <v>14464</v>
      </c>
      <c r="F561" s="152">
        <f>F553+F555+F557+F559</f>
        <v>14464</v>
      </c>
      <c r="G561" s="170">
        <f t="shared" si="24"/>
        <v>100</v>
      </c>
      <c r="H561" s="154"/>
      <c r="I561" s="242"/>
      <c r="J561" s="237"/>
      <c r="K561" s="204"/>
    </row>
    <row r="562" spans="1:11" ht="16.5" x14ac:dyDescent="0.25">
      <c r="A562" s="550" t="s">
        <v>94</v>
      </c>
      <c r="B562" s="550"/>
      <c r="C562" s="550"/>
      <c r="D562" s="550"/>
      <c r="E562" s="550"/>
      <c r="F562" s="550"/>
      <c r="G562" s="550"/>
      <c r="H562" s="550"/>
      <c r="I562" s="550"/>
      <c r="J562" s="550"/>
      <c r="K562" s="550"/>
    </row>
    <row r="563" spans="1:11" s="179" customFormat="1" ht="63" x14ac:dyDescent="0.25">
      <c r="A563" s="139">
        <v>160</v>
      </c>
      <c r="B563" s="246" t="s">
        <v>95</v>
      </c>
      <c r="C563" s="145" t="s">
        <v>14</v>
      </c>
      <c r="D563" s="145" t="s">
        <v>16</v>
      </c>
      <c r="E563" s="146">
        <v>1170</v>
      </c>
      <c r="F563" s="146">
        <v>1170</v>
      </c>
      <c r="G563" s="162">
        <f t="shared" ref="G563:G572" si="25">F563/E563*100</f>
        <v>100</v>
      </c>
      <c r="H563" s="148">
        <v>100</v>
      </c>
      <c r="I563" s="145"/>
      <c r="J563" s="149" t="s">
        <v>433</v>
      </c>
      <c r="K563" s="188"/>
    </row>
    <row r="564" spans="1:11" s="226" customFormat="1" x14ac:dyDescent="0.25">
      <c r="A564" s="189"/>
      <c r="B564" s="151" t="s">
        <v>13</v>
      </c>
      <c r="C564" s="150"/>
      <c r="D564" s="150"/>
      <c r="E564" s="152">
        <v>1170</v>
      </c>
      <c r="F564" s="152">
        <v>1170</v>
      </c>
      <c r="G564" s="170">
        <f t="shared" si="25"/>
        <v>100</v>
      </c>
      <c r="H564" s="154"/>
      <c r="I564" s="244"/>
      <c r="J564" s="158"/>
      <c r="K564" s="204"/>
    </row>
    <row r="565" spans="1:11" s="179" customFormat="1" ht="110.25" x14ac:dyDescent="0.25">
      <c r="A565" s="139">
        <v>161</v>
      </c>
      <c r="B565" s="246" t="s">
        <v>96</v>
      </c>
      <c r="C565" s="145" t="s">
        <v>14</v>
      </c>
      <c r="D565" s="145" t="s">
        <v>16</v>
      </c>
      <c r="E565" s="146">
        <v>4000</v>
      </c>
      <c r="F565" s="146">
        <v>4000</v>
      </c>
      <c r="G565" s="162">
        <f t="shared" si="25"/>
        <v>100</v>
      </c>
      <c r="H565" s="148">
        <v>100</v>
      </c>
      <c r="I565" s="145"/>
      <c r="J565" s="149" t="s">
        <v>433</v>
      </c>
      <c r="K565" s="188"/>
    </row>
    <row r="566" spans="1:11" s="226" customFormat="1" x14ac:dyDescent="0.25">
      <c r="A566" s="189"/>
      <c r="B566" s="151" t="s">
        <v>13</v>
      </c>
      <c r="C566" s="150"/>
      <c r="D566" s="150"/>
      <c r="E566" s="152">
        <v>4000</v>
      </c>
      <c r="F566" s="152">
        <v>4000</v>
      </c>
      <c r="G566" s="170">
        <f t="shared" si="25"/>
        <v>100</v>
      </c>
      <c r="H566" s="154"/>
      <c r="I566" s="150"/>
      <c r="J566" s="158"/>
      <c r="K566" s="204"/>
    </row>
    <row r="567" spans="1:11" s="179" customFormat="1" ht="110.25" x14ac:dyDescent="0.25">
      <c r="A567" s="139">
        <v>162</v>
      </c>
      <c r="B567" s="246" t="s">
        <v>97</v>
      </c>
      <c r="C567" s="145" t="s">
        <v>14</v>
      </c>
      <c r="D567" s="145" t="s">
        <v>16</v>
      </c>
      <c r="E567" s="146">
        <v>7416</v>
      </c>
      <c r="F567" s="146">
        <v>7416</v>
      </c>
      <c r="G567" s="162">
        <f t="shared" si="25"/>
        <v>100</v>
      </c>
      <c r="H567" s="148">
        <v>100</v>
      </c>
      <c r="I567" s="145"/>
      <c r="J567" s="149" t="s">
        <v>433</v>
      </c>
      <c r="K567" s="188"/>
    </row>
    <row r="568" spans="1:11" s="226" customFormat="1" x14ac:dyDescent="0.25">
      <c r="A568" s="189"/>
      <c r="B568" s="151" t="s">
        <v>13</v>
      </c>
      <c r="C568" s="150"/>
      <c r="D568" s="150"/>
      <c r="E568" s="152">
        <v>7416</v>
      </c>
      <c r="F568" s="152">
        <v>7416</v>
      </c>
      <c r="G568" s="170">
        <f t="shared" si="25"/>
        <v>100</v>
      </c>
      <c r="H568" s="154"/>
      <c r="I568" s="150"/>
      <c r="J568" s="158"/>
      <c r="K568" s="204"/>
    </row>
    <row r="569" spans="1:11" s="179" customFormat="1" ht="63" x14ac:dyDescent="0.25">
      <c r="A569" s="139">
        <v>163</v>
      </c>
      <c r="B569" s="246" t="s">
        <v>98</v>
      </c>
      <c r="C569" s="145" t="s">
        <v>14</v>
      </c>
      <c r="D569" s="145" t="s">
        <v>16</v>
      </c>
      <c r="E569" s="146">
        <v>10556</v>
      </c>
      <c r="F569" s="146">
        <v>9932.24</v>
      </c>
      <c r="G569" s="162">
        <f t="shared" si="25"/>
        <v>94.090943539219396</v>
      </c>
      <c r="H569" s="148">
        <v>100</v>
      </c>
      <c r="I569" s="246"/>
      <c r="J569" s="149" t="s">
        <v>433</v>
      </c>
      <c r="K569" s="188"/>
    </row>
    <row r="570" spans="1:11" s="226" customFormat="1" x14ac:dyDescent="0.25">
      <c r="A570" s="189"/>
      <c r="B570" s="151" t="s">
        <v>13</v>
      </c>
      <c r="C570" s="150"/>
      <c r="D570" s="150"/>
      <c r="E570" s="152">
        <v>10556</v>
      </c>
      <c r="F570" s="152">
        <v>9932.24</v>
      </c>
      <c r="G570" s="170">
        <f t="shared" si="25"/>
        <v>94.090943539219396</v>
      </c>
      <c r="H570" s="154"/>
      <c r="I570" s="150"/>
      <c r="J570" s="242"/>
      <c r="K570" s="204"/>
    </row>
    <row r="571" spans="1:11" s="226" customFormat="1" ht="94.5" x14ac:dyDescent="0.25">
      <c r="A571" s="139">
        <v>164</v>
      </c>
      <c r="B571" s="246" t="s">
        <v>300</v>
      </c>
      <c r="C571" s="145" t="s">
        <v>14</v>
      </c>
      <c r="D571" s="145" t="s">
        <v>290</v>
      </c>
      <c r="E571" s="146">
        <v>238916</v>
      </c>
      <c r="F571" s="146">
        <v>238911.96</v>
      </c>
      <c r="G571" s="162">
        <f t="shared" si="25"/>
        <v>99.998309029114836</v>
      </c>
      <c r="H571" s="148">
        <v>100</v>
      </c>
      <c r="I571" s="150"/>
      <c r="J571" s="246" t="s">
        <v>380</v>
      </c>
      <c r="K571" s="204"/>
    </row>
    <row r="572" spans="1:11" s="226" customFormat="1" x14ac:dyDescent="0.25">
      <c r="A572" s="189"/>
      <c r="B572" s="151" t="s">
        <v>13</v>
      </c>
      <c r="C572" s="150"/>
      <c r="D572" s="150"/>
      <c r="E572" s="152">
        <v>238916</v>
      </c>
      <c r="F572" s="152">
        <v>238911.96</v>
      </c>
      <c r="G572" s="170">
        <f t="shared" si="25"/>
        <v>99.998309029114836</v>
      </c>
      <c r="H572" s="154"/>
      <c r="I572" s="150"/>
      <c r="J572" s="242"/>
      <c r="K572" s="204"/>
    </row>
    <row r="573" spans="1:11" s="179" customFormat="1" x14ac:dyDescent="0.25">
      <c r="A573" s="139"/>
      <c r="B573" s="159" t="s">
        <v>54</v>
      </c>
      <c r="C573" s="145"/>
      <c r="D573" s="145"/>
      <c r="E573" s="160">
        <f>E563+E565+E567+E569+E571</f>
        <v>262058</v>
      </c>
      <c r="F573" s="160">
        <f>F563+F565+F567+F569+F571</f>
        <v>261430.19999999998</v>
      </c>
      <c r="G573" s="169">
        <f>F573/E573*100</f>
        <v>99.760434712926141</v>
      </c>
      <c r="H573" s="148"/>
      <c r="I573" s="241"/>
      <c r="J573" s="241"/>
      <c r="K573" s="188"/>
    </row>
    <row r="574" spans="1:11" s="226" customFormat="1" x14ac:dyDescent="0.25">
      <c r="A574" s="189"/>
      <c r="B574" s="151" t="s">
        <v>13</v>
      </c>
      <c r="C574" s="150"/>
      <c r="D574" s="150"/>
      <c r="E574" s="152">
        <f>E564+E566+E568+E570+E572</f>
        <v>262058</v>
      </c>
      <c r="F574" s="152">
        <f>F564+F566+F568+F570+F572</f>
        <v>261430.19999999998</v>
      </c>
      <c r="G574" s="170">
        <f>F574/E574*100</f>
        <v>99.760434712926141</v>
      </c>
      <c r="H574" s="154"/>
      <c r="I574" s="242"/>
      <c r="J574" s="242"/>
      <c r="K574" s="204"/>
    </row>
    <row r="575" spans="1:11" ht="16.5" x14ac:dyDescent="0.25">
      <c r="A575" s="550" t="s">
        <v>99</v>
      </c>
      <c r="B575" s="550"/>
      <c r="C575" s="550"/>
      <c r="D575" s="550"/>
      <c r="E575" s="550"/>
      <c r="F575" s="550"/>
      <c r="G575" s="550"/>
      <c r="H575" s="550"/>
      <c r="I575" s="550"/>
      <c r="J575" s="550"/>
      <c r="K575" s="550"/>
    </row>
    <row r="576" spans="1:11" s="179" customFormat="1" ht="63" x14ac:dyDescent="0.25">
      <c r="A576" s="139">
        <v>165</v>
      </c>
      <c r="B576" s="246" t="s">
        <v>100</v>
      </c>
      <c r="C576" s="145" t="s">
        <v>50</v>
      </c>
      <c r="D576" s="145" t="s">
        <v>16</v>
      </c>
      <c r="E576" s="146">
        <v>3230</v>
      </c>
      <c r="F576" s="146">
        <v>3230</v>
      </c>
      <c r="G576" s="162">
        <f t="shared" ref="G576:G577" si="26">F576/E576*100</f>
        <v>100</v>
      </c>
      <c r="H576" s="148">
        <v>100</v>
      </c>
      <c r="I576" s="241"/>
      <c r="J576" s="149" t="s">
        <v>433</v>
      </c>
      <c r="K576" s="188"/>
    </row>
    <row r="577" spans="1:11" s="226" customFormat="1" x14ac:dyDescent="0.25">
      <c r="A577" s="189"/>
      <c r="B577" s="151" t="s">
        <v>13</v>
      </c>
      <c r="C577" s="150"/>
      <c r="D577" s="150"/>
      <c r="E577" s="152">
        <v>3230</v>
      </c>
      <c r="F577" s="152">
        <v>3230</v>
      </c>
      <c r="G577" s="170">
        <f t="shared" si="26"/>
        <v>100</v>
      </c>
      <c r="H577" s="154"/>
      <c r="I577" s="242"/>
      <c r="J577" s="237"/>
      <c r="K577" s="204"/>
    </row>
    <row r="578" spans="1:11" s="179" customFormat="1" x14ac:dyDescent="0.25">
      <c r="A578" s="139"/>
      <c r="B578" s="159" t="s">
        <v>54</v>
      </c>
      <c r="C578" s="145"/>
      <c r="D578" s="145"/>
      <c r="E578" s="160">
        <f>E576</f>
        <v>3230</v>
      </c>
      <c r="F578" s="160">
        <f t="shared" ref="F578:G579" si="27">F576</f>
        <v>3230</v>
      </c>
      <c r="G578" s="169">
        <f t="shared" si="27"/>
        <v>100</v>
      </c>
      <c r="H578" s="148"/>
      <c r="I578" s="241"/>
      <c r="J578" s="243"/>
      <c r="K578" s="188"/>
    </row>
    <row r="579" spans="1:11" s="226" customFormat="1" x14ac:dyDescent="0.25">
      <c r="A579" s="189"/>
      <c r="B579" s="151" t="s">
        <v>13</v>
      </c>
      <c r="C579" s="150"/>
      <c r="D579" s="150"/>
      <c r="E579" s="152">
        <v>3230</v>
      </c>
      <c r="F579" s="152">
        <f>F577</f>
        <v>3230</v>
      </c>
      <c r="G579" s="170">
        <f t="shared" si="27"/>
        <v>100</v>
      </c>
      <c r="H579" s="154"/>
      <c r="I579" s="242"/>
      <c r="J579" s="237"/>
      <c r="K579" s="204"/>
    </row>
    <row r="580" spans="1:11" s="179" customFormat="1" ht="16.5" x14ac:dyDescent="0.25">
      <c r="A580" s="550" t="s">
        <v>105</v>
      </c>
      <c r="B580" s="550"/>
      <c r="C580" s="550"/>
      <c r="D580" s="550"/>
      <c r="E580" s="550"/>
      <c r="F580" s="550"/>
      <c r="G580" s="550"/>
      <c r="H580" s="550"/>
      <c r="I580" s="550"/>
      <c r="J580" s="550"/>
      <c r="K580" s="550"/>
    </row>
    <row r="581" spans="1:11" s="179" customFormat="1" ht="63" x14ac:dyDescent="0.25">
      <c r="A581" s="139">
        <v>166</v>
      </c>
      <c r="B581" s="246" t="s">
        <v>106</v>
      </c>
      <c r="C581" s="145" t="s">
        <v>48</v>
      </c>
      <c r="D581" s="145" t="s">
        <v>16</v>
      </c>
      <c r="E581" s="146">
        <v>23220</v>
      </c>
      <c r="F581" s="146">
        <v>23220</v>
      </c>
      <c r="G581" s="162">
        <f t="shared" ref="G581:G584" si="28">F581/E581*100</f>
        <v>100</v>
      </c>
      <c r="H581" s="148">
        <v>100</v>
      </c>
      <c r="I581" s="246"/>
      <c r="J581" s="149" t="s">
        <v>433</v>
      </c>
      <c r="K581" s="188"/>
    </row>
    <row r="582" spans="1:11" s="226" customFormat="1" x14ac:dyDescent="0.25">
      <c r="A582" s="189"/>
      <c r="B582" s="151" t="s">
        <v>13</v>
      </c>
      <c r="C582" s="150"/>
      <c r="D582" s="150"/>
      <c r="E582" s="152">
        <v>23220</v>
      </c>
      <c r="F582" s="152">
        <v>23220</v>
      </c>
      <c r="G582" s="170">
        <f t="shared" si="28"/>
        <v>100</v>
      </c>
      <c r="H582" s="154"/>
      <c r="I582" s="151"/>
      <c r="J582" s="151"/>
      <c r="K582" s="204"/>
    </row>
    <row r="583" spans="1:11" s="179" customFormat="1" x14ac:dyDescent="0.25">
      <c r="A583" s="139"/>
      <c r="B583" s="159" t="s">
        <v>54</v>
      </c>
      <c r="C583" s="145"/>
      <c r="D583" s="145"/>
      <c r="E583" s="160">
        <f>E581</f>
        <v>23220</v>
      </c>
      <c r="F583" s="160">
        <f>F581</f>
        <v>23220</v>
      </c>
      <c r="G583" s="169">
        <f t="shared" si="28"/>
        <v>100</v>
      </c>
      <c r="H583" s="148"/>
      <c r="I583" s="246"/>
      <c r="J583" s="246"/>
      <c r="K583" s="188"/>
    </row>
    <row r="584" spans="1:11" s="226" customFormat="1" x14ac:dyDescent="0.25">
      <c r="A584" s="189"/>
      <c r="B584" s="151" t="s">
        <v>13</v>
      </c>
      <c r="C584" s="150"/>
      <c r="D584" s="150"/>
      <c r="E584" s="152">
        <f>E583</f>
        <v>23220</v>
      </c>
      <c r="F584" s="152">
        <f>F583</f>
        <v>23220</v>
      </c>
      <c r="G584" s="170">
        <f t="shared" si="28"/>
        <v>100</v>
      </c>
      <c r="H584" s="154"/>
      <c r="I584" s="151"/>
      <c r="J584" s="151"/>
      <c r="K584" s="204"/>
    </row>
    <row r="585" spans="1:11" ht="16.5" x14ac:dyDescent="0.25">
      <c r="A585" s="550" t="s">
        <v>107</v>
      </c>
      <c r="B585" s="550"/>
      <c r="C585" s="550"/>
      <c r="D585" s="550"/>
      <c r="E585" s="550"/>
      <c r="F585" s="550"/>
      <c r="G585" s="550"/>
      <c r="H585" s="550"/>
      <c r="I585" s="550"/>
      <c r="J585" s="550"/>
      <c r="K585" s="550"/>
    </row>
    <row r="586" spans="1:11" s="179" customFormat="1" ht="63" x14ac:dyDescent="0.25">
      <c r="A586" s="139">
        <v>167</v>
      </c>
      <c r="B586" s="246" t="s">
        <v>108</v>
      </c>
      <c r="C586" s="145" t="s">
        <v>50</v>
      </c>
      <c r="D586" s="145" t="s">
        <v>16</v>
      </c>
      <c r="E586" s="146">
        <f>E587+E588</f>
        <v>7430</v>
      </c>
      <c r="F586" s="146">
        <f>F587+F588</f>
        <v>7397</v>
      </c>
      <c r="G586" s="162">
        <f t="shared" ref="G586:G608" si="29">F586/E586*100</f>
        <v>99.55585464333781</v>
      </c>
      <c r="H586" s="148">
        <v>100</v>
      </c>
      <c r="I586" s="246"/>
      <c r="J586" s="246" t="s">
        <v>433</v>
      </c>
      <c r="K586" s="188"/>
    </row>
    <row r="587" spans="1:11" s="226" customFormat="1" x14ac:dyDescent="0.25">
      <c r="A587" s="189"/>
      <c r="B587" s="151" t="s">
        <v>13</v>
      </c>
      <c r="C587" s="150"/>
      <c r="D587" s="150"/>
      <c r="E587" s="152">
        <v>4930</v>
      </c>
      <c r="F587" s="152">
        <v>4897</v>
      </c>
      <c r="G587" s="170">
        <f t="shared" si="29"/>
        <v>99.330628803245432</v>
      </c>
      <c r="H587" s="154"/>
      <c r="I587" s="151"/>
      <c r="J587" s="151"/>
      <c r="K587" s="204"/>
    </row>
    <row r="588" spans="1:11" s="226" customFormat="1" ht="31.5" x14ac:dyDescent="0.25">
      <c r="A588" s="189"/>
      <c r="B588" s="151" t="s">
        <v>139</v>
      </c>
      <c r="C588" s="150"/>
      <c r="D588" s="150"/>
      <c r="E588" s="152">
        <v>2500</v>
      </c>
      <c r="F588" s="152">
        <v>2500</v>
      </c>
      <c r="G588" s="170">
        <f t="shared" si="29"/>
        <v>100</v>
      </c>
      <c r="H588" s="154"/>
      <c r="I588" s="151"/>
      <c r="J588" s="151"/>
      <c r="K588" s="204"/>
    </row>
    <row r="589" spans="1:11" s="179" customFormat="1" ht="63" x14ac:dyDescent="0.25">
      <c r="A589" s="139">
        <v>168</v>
      </c>
      <c r="B589" s="246" t="s">
        <v>109</v>
      </c>
      <c r="C589" s="145" t="s">
        <v>50</v>
      </c>
      <c r="D589" s="145" t="s">
        <v>16</v>
      </c>
      <c r="E589" s="146">
        <f>E590+E591</f>
        <v>7030</v>
      </c>
      <c r="F589" s="146">
        <f>F590+F591</f>
        <v>7030</v>
      </c>
      <c r="G589" s="162">
        <f t="shared" si="29"/>
        <v>100</v>
      </c>
      <c r="H589" s="148">
        <v>100</v>
      </c>
      <c r="I589" s="246"/>
      <c r="J589" s="246" t="s">
        <v>433</v>
      </c>
      <c r="K589" s="188"/>
    </row>
    <row r="590" spans="1:11" s="226" customFormat="1" x14ac:dyDescent="0.25">
      <c r="A590" s="189"/>
      <c r="B590" s="151" t="s">
        <v>13</v>
      </c>
      <c r="C590" s="150"/>
      <c r="D590" s="150"/>
      <c r="E590" s="152">
        <v>4530</v>
      </c>
      <c r="F590" s="152">
        <v>4530</v>
      </c>
      <c r="G590" s="170">
        <f t="shared" si="29"/>
        <v>100</v>
      </c>
      <c r="H590" s="154"/>
      <c r="I590" s="151"/>
      <c r="J590" s="151"/>
      <c r="K590" s="204"/>
    </row>
    <row r="591" spans="1:11" s="226" customFormat="1" ht="31.5" x14ac:dyDescent="0.25">
      <c r="A591" s="189"/>
      <c r="B591" s="151" t="s">
        <v>139</v>
      </c>
      <c r="C591" s="150"/>
      <c r="D591" s="150"/>
      <c r="E591" s="152">
        <v>2500</v>
      </c>
      <c r="F591" s="152">
        <v>2500</v>
      </c>
      <c r="G591" s="170">
        <f t="shared" si="29"/>
        <v>100</v>
      </c>
      <c r="H591" s="154"/>
      <c r="I591" s="151"/>
      <c r="J591" s="151"/>
      <c r="K591" s="204"/>
    </row>
    <row r="592" spans="1:11" s="179" customFormat="1" ht="94.5" x14ac:dyDescent="0.25">
      <c r="A592" s="139">
        <v>169</v>
      </c>
      <c r="B592" s="246" t="s">
        <v>110</v>
      </c>
      <c r="C592" s="145" t="s">
        <v>50</v>
      </c>
      <c r="D592" s="145" t="s">
        <v>16</v>
      </c>
      <c r="E592" s="146">
        <f>E593+E594</f>
        <v>11470</v>
      </c>
      <c r="F592" s="146">
        <f>F593+F594</f>
        <v>11470</v>
      </c>
      <c r="G592" s="162">
        <f t="shared" si="29"/>
        <v>100</v>
      </c>
      <c r="H592" s="148">
        <v>100</v>
      </c>
      <c r="I592" s="246"/>
      <c r="J592" s="246" t="s">
        <v>433</v>
      </c>
      <c r="K592" s="188"/>
    </row>
    <row r="593" spans="1:11" s="226" customFormat="1" x14ac:dyDescent="0.25">
      <c r="A593" s="189"/>
      <c r="B593" s="151" t="s">
        <v>13</v>
      </c>
      <c r="C593" s="150"/>
      <c r="D593" s="150"/>
      <c r="E593" s="152">
        <v>6470</v>
      </c>
      <c r="F593" s="152">
        <v>6470</v>
      </c>
      <c r="G593" s="170">
        <f t="shared" si="29"/>
        <v>100</v>
      </c>
      <c r="H593" s="154"/>
      <c r="I593" s="151"/>
      <c r="J593" s="151"/>
      <c r="K593" s="204"/>
    </row>
    <row r="594" spans="1:11" s="226" customFormat="1" ht="31.5" x14ac:dyDescent="0.25">
      <c r="A594" s="189"/>
      <c r="B594" s="151" t="s">
        <v>139</v>
      </c>
      <c r="C594" s="150"/>
      <c r="D594" s="150"/>
      <c r="E594" s="152">
        <v>5000</v>
      </c>
      <c r="F594" s="152">
        <v>5000</v>
      </c>
      <c r="G594" s="170">
        <f t="shared" si="29"/>
        <v>100</v>
      </c>
      <c r="H594" s="154"/>
      <c r="I594" s="151"/>
      <c r="J594" s="151"/>
      <c r="K594" s="204"/>
    </row>
    <row r="595" spans="1:11" s="179" customFormat="1" ht="63" x14ac:dyDescent="0.25">
      <c r="A595" s="139">
        <v>170</v>
      </c>
      <c r="B595" s="246" t="s">
        <v>500</v>
      </c>
      <c r="C595" s="145" t="s">
        <v>50</v>
      </c>
      <c r="D595" s="145" t="s">
        <v>16</v>
      </c>
      <c r="E595" s="146">
        <v>4400</v>
      </c>
      <c r="F595" s="146">
        <v>4400</v>
      </c>
      <c r="G595" s="162">
        <f t="shared" si="29"/>
        <v>100</v>
      </c>
      <c r="H595" s="148">
        <v>100</v>
      </c>
      <c r="I595" s="246"/>
      <c r="J595" s="246" t="s">
        <v>433</v>
      </c>
      <c r="K595" s="188"/>
    </row>
    <row r="596" spans="1:11" s="226" customFormat="1" x14ac:dyDescent="0.25">
      <c r="A596" s="189"/>
      <c r="B596" s="151" t="s">
        <v>13</v>
      </c>
      <c r="C596" s="150"/>
      <c r="D596" s="150"/>
      <c r="E596" s="152">
        <v>4400</v>
      </c>
      <c r="F596" s="152">
        <v>4400</v>
      </c>
      <c r="G596" s="170">
        <f t="shared" si="29"/>
        <v>100</v>
      </c>
      <c r="H596" s="154"/>
      <c r="I596" s="151"/>
      <c r="J596" s="151"/>
      <c r="K596" s="204"/>
    </row>
    <row r="597" spans="1:11" s="179" customFormat="1" ht="110.25" x14ac:dyDescent="0.25">
      <c r="A597" s="139">
        <v>171</v>
      </c>
      <c r="B597" s="246" t="s">
        <v>112</v>
      </c>
      <c r="C597" s="145" t="s">
        <v>50</v>
      </c>
      <c r="D597" s="145" t="s">
        <v>16</v>
      </c>
      <c r="E597" s="146">
        <f>E598+E599</f>
        <v>10340</v>
      </c>
      <c r="F597" s="146">
        <f>F598+F599</f>
        <v>10340</v>
      </c>
      <c r="G597" s="162">
        <f t="shared" si="29"/>
        <v>100</v>
      </c>
      <c r="H597" s="148">
        <v>100</v>
      </c>
      <c r="I597" s="246"/>
      <c r="J597" s="246" t="s">
        <v>433</v>
      </c>
      <c r="K597" s="188"/>
    </row>
    <row r="598" spans="1:11" s="226" customFormat="1" x14ac:dyDescent="0.25">
      <c r="A598" s="189"/>
      <c r="B598" s="151" t="s">
        <v>13</v>
      </c>
      <c r="C598" s="150"/>
      <c r="D598" s="150"/>
      <c r="E598" s="152">
        <v>5340</v>
      </c>
      <c r="F598" s="152">
        <v>5340</v>
      </c>
      <c r="G598" s="170">
        <f t="shared" si="29"/>
        <v>100</v>
      </c>
      <c r="H598" s="154"/>
      <c r="I598" s="151"/>
      <c r="J598" s="151"/>
      <c r="K598" s="204"/>
    </row>
    <row r="599" spans="1:11" s="226" customFormat="1" ht="31.5" x14ac:dyDescent="0.25">
      <c r="A599" s="189"/>
      <c r="B599" s="151" t="s">
        <v>139</v>
      </c>
      <c r="C599" s="150"/>
      <c r="D599" s="150"/>
      <c r="E599" s="152">
        <v>5000</v>
      </c>
      <c r="F599" s="152">
        <v>5000</v>
      </c>
      <c r="G599" s="170">
        <f t="shared" si="29"/>
        <v>100</v>
      </c>
      <c r="H599" s="154"/>
      <c r="I599" s="151"/>
      <c r="J599" s="151"/>
      <c r="K599" s="204"/>
    </row>
    <row r="600" spans="1:11" s="179" customFormat="1" ht="110.25" x14ac:dyDescent="0.25">
      <c r="A600" s="139">
        <v>172</v>
      </c>
      <c r="B600" s="246" t="s">
        <v>113</v>
      </c>
      <c r="C600" s="145" t="s">
        <v>50</v>
      </c>
      <c r="D600" s="145" t="s">
        <v>16</v>
      </c>
      <c r="E600" s="146">
        <v>6960</v>
      </c>
      <c r="F600" s="146">
        <v>6960</v>
      </c>
      <c r="G600" s="162">
        <f t="shared" si="29"/>
        <v>100</v>
      </c>
      <c r="H600" s="148">
        <v>100</v>
      </c>
      <c r="I600" s="246"/>
      <c r="J600" s="246" t="s">
        <v>433</v>
      </c>
      <c r="K600" s="188"/>
    </row>
    <row r="601" spans="1:11" s="226" customFormat="1" x14ac:dyDescent="0.25">
      <c r="A601" s="189"/>
      <c r="B601" s="151" t="s">
        <v>13</v>
      </c>
      <c r="C601" s="150"/>
      <c r="D601" s="150"/>
      <c r="E601" s="152">
        <v>6960</v>
      </c>
      <c r="F601" s="152">
        <v>6960</v>
      </c>
      <c r="G601" s="170">
        <f t="shared" si="29"/>
        <v>100</v>
      </c>
      <c r="H601" s="154"/>
      <c r="I601" s="151"/>
      <c r="J601" s="151"/>
      <c r="K601" s="204"/>
    </row>
    <row r="602" spans="1:11" s="226" customFormat="1" ht="94.5" x14ac:dyDescent="0.25">
      <c r="A602" s="139">
        <v>173</v>
      </c>
      <c r="B602" s="246" t="s">
        <v>501</v>
      </c>
      <c r="C602" s="145" t="s">
        <v>50</v>
      </c>
      <c r="D602" s="145">
        <v>2018</v>
      </c>
      <c r="E602" s="146">
        <v>11500</v>
      </c>
      <c r="F602" s="146">
        <v>11500</v>
      </c>
      <c r="G602" s="170">
        <f t="shared" si="29"/>
        <v>100</v>
      </c>
      <c r="H602" s="148">
        <v>100</v>
      </c>
      <c r="I602" s="151"/>
      <c r="J602" s="246" t="s">
        <v>380</v>
      </c>
      <c r="K602" s="204"/>
    </row>
    <row r="603" spans="1:11" s="226" customFormat="1" ht="31.5" x14ac:dyDescent="0.25">
      <c r="A603" s="189"/>
      <c r="B603" s="151" t="s">
        <v>139</v>
      </c>
      <c r="C603" s="150"/>
      <c r="D603" s="150"/>
      <c r="E603" s="152">
        <v>11500</v>
      </c>
      <c r="F603" s="152">
        <v>11500</v>
      </c>
      <c r="G603" s="170"/>
      <c r="H603" s="154"/>
      <c r="I603" s="151"/>
      <c r="J603" s="151"/>
      <c r="K603" s="204"/>
    </row>
    <row r="604" spans="1:11" s="226" customFormat="1" ht="94.5" x14ac:dyDescent="0.25">
      <c r="A604" s="139">
        <v>174</v>
      </c>
      <c r="B604" s="246" t="s">
        <v>301</v>
      </c>
      <c r="C604" s="145" t="s">
        <v>50</v>
      </c>
      <c r="D604" s="145" t="s">
        <v>290</v>
      </c>
      <c r="E604" s="146">
        <v>5000</v>
      </c>
      <c r="F604" s="146">
        <v>5000</v>
      </c>
      <c r="G604" s="162">
        <f t="shared" si="29"/>
        <v>100</v>
      </c>
      <c r="H604" s="148">
        <v>100</v>
      </c>
      <c r="I604" s="151"/>
      <c r="J604" s="246" t="s">
        <v>380</v>
      </c>
      <c r="K604" s="204"/>
    </row>
    <row r="605" spans="1:11" s="226" customFormat="1" ht="31.5" x14ac:dyDescent="0.25">
      <c r="A605" s="189"/>
      <c r="B605" s="151" t="s">
        <v>139</v>
      </c>
      <c r="C605" s="150"/>
      <c r="D605" s="150"/>
      <c r="E605" s="152">
        <v>5000</v>
      </c>
      <c r="F605" s="152">
        <v>5000</v>
      </c>
      <c r="G605" s="170">
        <f t="shared" si="29"/>
        <v>100</v>
      </c>
      <c r="H605" s="154"/>
      <c r="I605" s="151"/>
      <c r="J605" s="151"/>
      <c r="K605" s="204"/>
    </row>
    <row r="606" spans="1:11" s="179" customFormat="1" x14ac:dyDescent="0.25">
      <c r="A606" s="139"/>
      <c r="B606" s="159" t="s">
        <v>54</v>
      </c>
      <c r="C606" s="145"/>
      <c r="D606" s="145"/>
      <c r="E606" s="160">
        <f>E607+E608</f>
        <v>64130</v>
      </c>
      <c r="F606" s="160">
        <f>F607+F608</f>
        <v>64097</v>
      </c>
      <c r="G606" s="169">
        <f t="shared" si="29"/>
        <v>99.948542024013719</v>
      </c>
      <c r="H606" s="148"/>
      <c r="I606" s="246"/>
      <c r="J606" s="246"/>
      <c r="K606" s="188"/>
    </row>
    <row r="607" spans="1:11" s="226" customFormat="1" x14ac:dyDescent="0.25">
      <c r="A607" s="189"/>
      <c r="B607" s="151" t="s">
        <v>13</v>
      </c>
      <c r="C607" s="150"/>
      <c r="D607" s="150"/>
      <c r="E607" s="152">
        <f>E587+E590+E593+E596+E598+E601</f>
        <v>32630</v>
      </c>
      <c r="F607" s="152">
        <f>F587+F590+F593+F596+F598+F601</f>
        <v>32597</v>
      </c>
      <c r="G607" s="170">
        <f t="shared" si="29"/>
        <v>99.898866074164886</v>
      </c>
      <c r="H607" s="154"/>
      <c r="I607" s="151"/>
      <c r="J607" s="151"/>
      <c r="K607" s="204"/>
    </row>
    <row r="608" spans="1:11" s="226" customFormat="1" ht="31.5" x14ac:dyDescent="0.25">
      <c r="A608" s="189"/>
      <c r="B608" s="151" t="s">
        <v>139</v>
      </c>
      <c r="C608" s="150"/>
      <c r="D608" s="150"/>
      <c r="E608" s="152">
        <f>E588+E591+E594+E599+E603+E605</f>
        <v>31500</v>
      </c>
      <c r="F608" s="152">
        <f>F588+F591+F594+F599+F603+F605</f>
        <v>31500</v>
      </c>
      <c r="G608" s="170">
        <f t="shared" si="29"/>
        <v>100</v>
      </c>
      <c r="H608" s="154"/>
      <c r="I608" s="151"/>
      <c r="J608" s="151"/>
      <c r="K608" s="204"/>
    </row>
    <row r="609" spans="1:11" ht="19.5" x14ac:dyDescent="0.25">
      <c r="A609" s="139"/>
      <c r="B609" s="151"/>
      <c r="C609" s="141"/>
      <c r="D609" s="141"/>
      <c r="E609" s="147"/>
      <c r="F609" s="147"/>
      <c r="G609" s="147"/>
      <c r="H609" s="142"/>
      <c r="I609" s="143"/>
      <c r="J609" s="143"/>
      <c r="K609" s="143"/>
    </row>
    <row r="610" spans="1:11" ht="16.5" x14ac:dyDescent="0.25">
      <c r="A610" s="550" t="s">
        <v>114</v>
      </c>
      <c r="B610" s="550"/>
      <c r="C610" s="550"/>
      <c r="D610" s="550"/>
      <c r="E610" s="550"/>
      <c r="F610" s="550"/>
      <c r="G610" s="550"/>
      <c r="H610" s="550"/>
      <c r="I610" s="550"/>
      <c r="J610" s="550"/>
      <c r="K610" s="550"/>
    </row>
    <row r="611" spans="1:11" s="179" customFormat="1" ht="63" x14ac:dyDescent="0.25">
      <c r="A611" s="145">
        <v>175</v>
      </c>
      <c r="B611" s="246" t="s">
        <v>115</v>
      </c>
      <c r="C611" s="145" t="s">
        <v>50</v>
      </c>
      <c r="D611" s="145" t="s">
        <v>16</v>
      </c>
      <c r="E611" s="146">
        <v>2260</v>
      </c>
      <c r="F611" s="146">
        <v>2260</v>
      </c>
      <c r="G611" s="162">
        <f>F611/E611*100</f>
        <v>100</v>
      </c>
      <c r="H611" s="148">
        <v>100</v>
      </c>
      <c r="I611" s="157"/>
      <c r="J611" s="246" t="s">
        <v>433</v>
      </c>
      <c r="K611" s="145"/>
    </row>
    <row r="612" spans="1:11" s="226" customFormat="1" x14ac:dyDescent="0.25">
      <c r="A612" s="150"/>
      <c r="B612" s="151" t="s">
        <v>13</v>
      </c>
      <c r="C612" s="150"/>
      <c r="D612" s="150"/>
      <c r="E612" s="152">
        <v>2260</v>
      </c>
      <c r="F612" s="152">
        <v>2260</v>
      </c>
      <c r="G612" s="170">
        <f t="shared" ref="G612:G628" si="30">F612/E612*100</f>
        <v>100</v>
      </c>
      <c r="H612" s="154"/>
      <c r="I612" s="245"/>
      <c r="J612" s="150"/>
      <c r="K612" s="150"/>
    </row>
    <row r="613" spans="1:11" s="179" customFormat="1" ht="63" x14ac:dyDescent="0.25">
      <c r="A613" s="145">
        <v>176</v>
      </c>
      <c r="B613" s="246" t="s">
        <v>116</v>
      </c>
      <c r="C613" s="145" t="s">
        <v>50</v>
      </c>
      <c r="D613" s="145" t="s">
        <v>16</v>
      </c>
      <c r="E613" s="146">
        <v>2260</v>
      </c>
      <c r="F613" s="146">
        <v>2260</v>
      </c>
      <c r="G613" s="162">
        <f t="shared" si="30"/>
        <v>100</v>
      </c>
      <c r="H613" s="148">
        <v>100</v>
      </c>
      <c r="I613" s="157"/>
      <c r="J613" s="246" t="s">
        <v>433</v>
      </c>
      <c r="K613" s="145"/>
    </row>
    <row r="614" spans="1:11" s="226" customFormat="1" x14ac:dyDescent="0.25">
      <c r="A614" s="150"/>
      <c r="B614" s="151" t="s">
        <v>13</v>
      </c>
      <c r="C614" s="150"/>
      <c r="D614" s="150"/>
      <c r="E614" s="152">
        <v>2260</v>
      </c>
      <c r="F614" s="152">
        <v>2260</v>
      </c>
      <c r="G614" s="170">
        <f t="shared" si="30"/>
        <v>100</v>
      </c>
      <c r="H614" s="154"/>
      <c r="I614" s="245"/>
      <c r="J614" s="150"/>
      <c r="K614" s="150"/>
    </row>
    <row r="615" spans="1:11" s="179" customFormat="1" ht="78.75" x14ac:dyDescent="0.25">
      <c r="A615" s="145">
        <v>177</v>
      </c>
      <c r="B615" s="246" t="s">
        <v>117</v>
      </c>
      <c r="C615" s="145" t="s">
        <v>50</v>
      </c>
      <c r="D615" s="145" t="s">
        <v>16</v>
      </c>
      <c r="E615" s="146">
        <v>5340</v>
      </c>
      <c r="F615" s="146">
        <v>5340</v>
      </c>
      <c r="G615" s="162">
        <f t="shared" si="30"/>
        <v>100</v>
      </c>
      <c r="H615" s="148">
        <v>100</v>
      </c>
      <c r="I615" s="157"/>
      <c r="J615" s="246" t="s">
        <v>433</v>
      </c>
      <c r="K615" s="145"/>
    </row>
    <row r="616" spans="1:11" s="226" customFormat="1" x14ac:dyDescent="0.25">
      <c r="A616" s="189"/>
      <c r="B616" s="151" t="s">
        <v>13</v>
      </c>
      <c r="C616" s="150"/>
      <c r="D616" s="150"/>
      <c r="E616" s="152">
        <v>5340</v>
      </c>
      <c r="F616" s="152">
        <v>5340</v>
      </c>
      <c r="G616" s="170">
        <f t="shared" si="30"/>
        <v>100</v>
      </c>
      <c r="H616" s="154"/>
      <c r="I616" s="245"/>
      <c r="J616" s="150"/>
      <c r="K616" s="204"/>
    </row>
    <row r="617" spans="1:11" s="179" customFormat="1" ht="78.75" x14ac:dyDescent="0.25">
      <c r="A617" s="139">
        <v>178</v>
      </c>
      <c r="B617" s="246" t="s">
        <v>118</v>
      </c>
      <c r="C617" s="145" t="s">
        <v>50</v>
      </c>
      <c r="D617" s="145" t="s">
        <v>16</v>
      </c>
      <c r="E617" s="146">
        <v>2830</v>
      </c>
      <c r="F617" s="146">
        <v>2830</v>
      </c>
      <c r="G617" s="162">
        <f t="shared" si="30"/>
        <v>100</v>
      </c>
      <c r="H617" s="148">
        <v>100</v>
      </c>
      <c r="I617" s="157"/>
      <c r="J617" s="246" t="s">
        <v>433</v>
      </c>
      <c r="K617" s="188"/>
    </row>
    <row r="618" spans="1:11" s="226" customFormat="1" x14ac:dyDescent="0.25">
      <c r="A618" s="189"/>
      <c r="B618" s="151" t="s">
        <v>13</v>
      </c>
      <c r="C618" s="150"/>
      <c r="D618" s="150"/>
      <c r="E618" s="152">
        <v>2830</v>
      </c>
      <c r="F618" s="152">
        <v>2830</v>
      </c>
      <c r="G618" s="170">
        <f t="shared" si="30"/>
        <v>100</v>
      </c>
      <c r="H618" s="154"/>
      <c r="I618" s="245"/>
      <c r="J618" s="150"/>
      <c r="K618" s="204"/>
    </row>
    <row r="619" spans="1:11" s="179" customFormat="1" ht="63" x14ac:dyDescent="0.25">
      <c r="A619" s="139">
        <v>179</v>
      </c>
      <c r="B619" s="246" t="s">
        <v>119</v>
      </c>
      <c r="C619" s="145" t="s">
        <v>50</v>
      </c>
      <c r="D619" s="145" t="s">
        <v>16</v>
      </c>
      <c r="E619" s="146">
        <v>2830</v>
      </c>
      <c r="F619" s="146">
        <v>2830</v>
      </c>
      <c r="G619" s="162">
        <f t="shared" si="30"/>
        <v>100</v>
      </c>
      <c r="H619" s="148">
        <v>100</v>
      </c>
      <c r="I619" s="157"/>
      <c r="J619" s="246" t="s">
        <v>433</v>
      </c>
      <c r="K619" s="188"/>
    </row>
    <row r="620" spans="1:11" s="226" customFormat="1" x14ac:dyDescent="0.25">
      <c r="A620" s="189"/>
      <c r="B620" s="151" t="s">
        <v>13</v>
      </c>
      <c r="C620" s="150"/>
      <c r="D620" s="150"/>
      <c r="E620" s="152">
        <v>2830</v>
      </c>
      <c r="F620" s="152">
        <v>2830</v>
      </c>
      <c r="G620" s="170">
        <f t="shared" si="30"/>
        <v>100</v>
      </c>
      <c r="H620" s="154"/>
      <c r="I620" s="245"/>
      <c r="J620" s="151"/>
      <c r="K620" s="204"/>
    </row>
    <row r="621" spans="1:11" s="226" customFormat="1" ht="78.75" x14ac:dyDescent="0.25">
      <c r="A621" s="139">
        <v>180</v>
      </c>
      <c r="B621" s="246" t="s">
        <v>502</v>
      </c>
      <c r="C621" s="145" t="s">
        <v>50</v>
      </c>
      <c r="D621" s="145" t="s">
        <v>445</v>
      </c>
      <c r="E621" s="146">
        <v>2020</v>
      </c>
      <c r="F621" s="146">
        <v>2020</v>
      </c>
      <c r="G621" s="162">
        <f t="shared" si="30"/>
        <v>100</v>
      </c>
      <c r="H621" s="148">
        <v>100</v>
      </c>
      <c r="I621" s="245"/>
      <c r="J621" s="246" t="s">
        <v>433</v>
      </c>
      <c r="K621" s="204"/>
    </row>
    <row r="622" spans="1:11" s="226" customFormat="1" x14ac:dyDescent="0.25">
      <c r="A622" s="189"/>
      <c r="B622" s="151" t="s">
        <v>13</v>
      </c>
      <c r="C622" s="150"/>
      <c r="D622" s="150"/>
      <c r="E622" s="152">
        <v>2020</v>
      </c>
      <c r="F622" s="152">
        <v>2020</v>
      </c>
      <c r="G622" s="170">
        <f t="shared" si="30"/>
        <v>100</v>
      </c>
      <c r="H622" s="154"/>
      <c r="I622" s="245"/>
      <c r="J622" s="151"/>
      <c r="K622" s="204"/>
    </row>
    <row r="623" spans="1:11" s="179" customFormat="1" ht="78.75" x14ac:dyDescent="0.25">
      <c r="A623" s="139">
        <v>181</v>
      </c>
      <c r="B623" s="246" t="s">
        <v>120</v>
      </c>
      <c r="C623" s="145" t="s">
        <v>50</v>
      </c>
      <c r="D623" s="145" t="s">
        <v>16</v>
      </c>
      <c r="E623" s="146">
        <v>2260</v>
      </c>
      <c r="F623" s="146">
        <v>2260</v>
      </c>
      <c r="G623" s="162">
        <f t="shared" si="30"/>
        <v>100</v>
      </c>
      <c r="H623" s="148">
        <v>100</v>
      </c>
      <c r="I623" s="157"/>
      <c r="J623" s="246" t="s">
        <v>433</v>
      </c>
      <c r="K623" s="188"/>
    </row>
    <row r="624" spans="1:11" s="226" customFormat="1" x14ac:dyDescent="0.25">
      <c r="A624" s="189"/>
      <c r="B624" s="151" t="s">
        <v>13</v>
      </c>
      <c r="C624" s="150"/>
      <c r="D624" s="150"/>
      <c r="E624" s="152">
        <v>2260</v>
      </c>
      <c r="F624" s="152">
        <v>2260</v>
      </c>
      <c r="G624" s="170">
        <f t="shared" si="30"/>
        <v>100</v>
      </c>
      <c r="H624" s="154"/>
      <c r="I624" s="245"/>
      <c r="J624" s="245"/>
      <c r="K624" s="204"/>
    </row>
    <row r="625" spans="1:11" s="226" customFormat="1" ht="31.5" x14ac:dyDescent="0.25">
      <c r="A625" s="139">
        <v>182</v>
      </c>
      <c r="B625" s="246" t="s">
        <v>302</v>
      </c>
      <c r="C625" s="145" t="s">
        <v>50</v>
      </c>
      <c r="D625" s="145" t="s">
        <v>290</v>
      </c>
      <c r="E625" s="146">
        <v>4850</v>
      </c>
      <c r="F625" s="146">
        <v>4850</v>
      </c>
      <c r="G625" s="162">
        <f t="shared" si="30"/>
        <v>100</v>
      </c>
      <c r="H625" s="148">
        <v>100</v>
      </c>
      <c r="I625" s="245"/>
      <c r="J625" s="559" t="s">
        <v>380</v>
      </c>
      <c r="K625" s="204"/>
    </row>
    <row r="626" spans="1:11" s="226" customFormat="1" x14ac:dyDescent="0.25">
      <c r="A626" s="189"/>
      <c r="B626" s="151" t="s">
        <v>13</v>
      </c>
      <c r="C626" s="150"/>
      <c r="D626" s="150"/>
      <c r="E626" s="152">
        <v>4850</v>
      </c>
      <c r="F626" s="152">
        <v>4850</v>
      </c>
      <c r="G626" s="170">
        <f t="shared" si="30"/>
        <v>100</v>
      </c>
      <c r="H626" s="154"/>
      <c r="I626" s="245"/>
      <c r="J626" s="559"/>
      <c r="K626" s="204"/>
    </row>
    <row r="627" spans="1:11" s="179" customFormat="1" x14ac:dyDescent="0.25">
      <c r="A627" s="139"/>
      <c r="B627" s="159" t="s">
        <v>54</v>
      </c>
      <c r="C627" s="145"/>
      <c r="D627" s="145"/>
      <c r="E627" s="160">
        <f>E611+E613+E615+E617+E619+E621+E623+E625</f>
        <v>24650</v>
      </c>
      <c r="F627" s="160">
        <f>F611+F613+F615+F617+F619+F621+F623+F625</f>
        <v>24650</v>
      </c>
      <c r="G627" s="169">
        <f t="shared" si="30"/>
        <v>100</v>
      </c>
      <c r="H627" s="148"/>
      <c r="I627" s="157"/>
      <c r="J627" s="157"/>
      <c r="K627" s="188"/>
    </row>
    <row r="628" spans="1:11" s="226" customFormat="1" x14ac:dyDescent="0.25">
      <c r="A628" s="189"/>
      <c r="B628" s="151" t="s">
        <v>13</v>
      </c>
      <c r="C628" s="150"/>
      <c r="D628" s="150"/>
      <c r="E628" s="152">
        <f>E612+E614+E616+E618+E620+E622+E624+E626</f>
        <v>24650</v>
      </c>
      <c r="F628" s="152">
        <f>F612+F614+F616+F618+F620+F622+F624+F626</f>
        <v>24650</v>
      </c>
      <c r="G628" s="170">
        <f t="shared" si="30"/>
        <v>100</v>
      </c>
      <c r="H628" s="154"/>
      <c r="I628" s="245"/>
      <c r="J628" s="245"/>
      <c r="K628" s="204"/>
    </row>
    <row r="629" spans="1:11" ht="16.5" x14ac:dyDescent="0.25">
      <c r="A629" s="550" t="s">
        <v>121</v>
      </c>
      <c r="B629" s="550"/>
      <c r="C629" s="550"/>
      <c r="D629" s="550"/>
      <c r="E629" s="550"/>
      <c r="F629" s="550"/>
      <c r="G629" s="550"/>
      <c r="H629" s="550"/>
      <c r="I629" s="550"/>
      <c r="J629" s="550"/>
      <c r="K629" s="550"/>
    </row>
    <row r="630" spans="1:11" s="179" customFormat="1" ht="220.5" x14ac:dyDescent="0.25">
      <c r="A630" s="139">
        <v>183</v>
      </c>
      <c r="B630" s="246" t="s">
        <v>122</v>
      </c>
      <c r="C630" s="145" t="s">
        <v>50</v>
      </c>
      <c r="D630" s="145" t="s">
        <v>16</v>
      </c>
      <c r="E630" s="146">
        <v>14100</v>
      </c>
      <c r="F630" s="146">
        <v>14100</v>
      </c>
      <c r="G630" s="162">
        <f>F630/E630*100</f>
        <v>100</v>
      </c>
      <c r="H630" s="148">
        <v>100</v>
      </c>
      <c r="I630" s="157"/>
      <c r="J630" s="246" t="s">
        <v>433</v>
      </c>
      <c r="K630" s="188"/>
    </row>
    <row r="631" spans="1:11" s="226" customFormat="1" x14ac:dyDescent="0.25">
      <c r="A631" s="189"/>
      <c r="B631" s="151" t="s">
        <v>13</v>
      </c>
      <c r="C631" s="150"/>
      <c r="D631" s="150"/>
      <c r="E631" s="152">
        <v>14100</v>
      </c>
      <c r="F631" s="152">
        <v>14100</v>
      </c>
      <c r="G631" s="170">
        <f>F631/E631*100</f>
        <v>100</v>
      </c>
      <c r="H631" s="184"/>
      <c r="I631" s="245"/>
      <c r="J631" s="245"/>
      <c r="K631" s="204"/>
    </row>
    <row r="632" spans="1:11" s="179" customFormat="1" x14ac:dyDescent="0.25">
      <c r="A632" s="139"/>
      <c r="B632" s="159" t="s">
        <v>54</v>
      </c>
      <c r="C632" s="145"/>
      <c r="D632" s="145"/>
      <c r="E632" s="160">
        <f>E630</f>
        <v>14100</v>
      </c>
      <c r="F632" s="160">
        <f>F630</f>
        <v>14100</v>
      </c>
      <c r="G632" s="169">
        <f t="shared" ref="G632:G633" si="31">F632/E632*100</f>
        <v>100</v>
      </c>
      <c r="H632" s="247"/>
      <c r="I632" s="157"/>
      <c r="J632" s="157"/>
      <c r="K632" s="188"/>
    </row>
    <row r="633" spans="1:11" s="226" customFormat="1" x14ac:dyDescent="0.25">
      <c r="A633" s="189"/>
      <c r="B633" s="151" t="s">
        <v>13</v>
      </c>
      <c r="C633" s="150"/>
      <c r="D633" s="150"/>
      <c r="E633" s="152">
        <v>14100</v>
      </c>
      <c r="F633" s="152">
        <f>F631</f>
        <v>14100</v>
      </c>
      <c r="G633" s="244">
        <f t="shared" si="31"/>
        <v>100</v>
      </c>
      <c r="H633" s="184"/>
      <c r="I633" s="245"/>
      <c r="J633" s="245"/>
      <c r="K633" s="204"/>
    </row>
    <row r="634" spans="1:11" ht="16.5" x14ac:dyDescent="0.25">
      <c r="A634" s="550" t="s">
        <v>123</v>
      </c>
      <c r="B634" s="550"/>
      <c r="C634" s="550"/>
      <c r="D634" s="550"/>
      <c r="E634" s="550"/>
      <c r="F634" s="550"/>
      <c r="G634" s="550"/>
      <c r="H634" s="550"/>
      <c r="I634" s="550"/>
      <c r="J634" s="550"/>
      <c r="K634" s="550"/>
    </row>
    <row r="635" spans="1:11" s="179" customFormat="1" ht="94.5" x14ac:dyDescent="0.25">
      <c r="A635" s="139">
        <v>184</v>
      </c>
      <c r="B635" s="246" t="s">
        <v>124</v>
      </c>
      <c r="C635" s="145" t="s">
        <v>14</v>
      </c>
      <c r="D635" s="145" t="s">
        <v>16</v>
      </c>
      <c r="E635" s="146">
        <v>1187800</v>
      </c>
      <c r="F635" s="146">
        <v>944269.3</v>
      </c>
      <c r="G635" s="162">
        <f>F635/E635*100</f>
        <v>79.49733120053881</v>
      </c>
      <c r="H635" s="148">
        <v>100</v>
      </c>
      <c r="I635" s="241"/>
      <c r="J635" s="246" t="s">
        <v>433</v>
      </c>
      <c r="K635" s="188"/>
    </row>
    <row r="636" spans="1:11" s="226" customFormat="1" x14ac:dyDescent="0.25">
      <c r="A636" s="189"/>
      <c r="B636" s="151" t="s">
        <v>19</v>
      </c>
      <c r="C636" s="150"/>
      <c r="D636" s="150"/>
      <c r="E636" s="152">
        <v>1187800</v>
      </c>
      <c r="F636" s="152">
        <v>944269.3</v>
      </c>
      <c r="G636" s="170">
        <f>F636/E636*100</f>
        <v>79.49733120053881</v>
      </c>
      <c r="H636" s="154"/>
      <c r="I636" s="242"/>
      <c r="J636" s="151"/>
      <c r="K636" s="204"/>
    </row>
    <row r="637" spans="1:11" s="179" customFormat="1" ht="110.25" x14ac:dyDescent="0.25">
      <c r="A637" s="139">
        <v>185</v>
      </c>
      <c r="B637" s="246" t="s">
        <v>125</v>
      </c>
      <c r="C637" s="145" t="s">
        <v>14</v>
      </c>
      <c r="D637" s="145" t="s">
        <v>16</v>
      </c>
      <c r="E637" s="146">
        <v>598600</v>
      </c>
      <c r="F637" s="146">
        <v>855864.84</v>
      </c>
      <c r="G637" s="162">
        <f t="shared" ref="G637:G644" si="32">F637/E637*100</f>
        <v>142.97775476110925</v>
      </c>
      <c r="H637" s="148">
        <v>100</v>
      </c>
      <c r="I637" s="241"/>
      <c r="J637" s="246" t="s">
        <v>433</v>
      </c>
      <c r="K637" s="188"/>
    </row>
    <row r="638" spans="1:11" s="226" customFormat="1" x14ac:dyDescent="0.25">
      <c r="A638" s="189"/>
      <c r="B638" s="151" t="s">
        <v>19</v>
      </c>
      <c r="C638" s="150"/>
      <c r="D638" s="150"/>
      <c r="E638" s="152">
        <v>598600</v>
      </c>
      <c r="F638" s="152">
        <v>855864.84</v>
      </c>
      <c r="G638" s="170">
        <f t="shared" si="32"/>
        <v>142.97775476110925</v>
      </c>
      <c r="H638" s="154"/>
      <c r="I638" s="242"/>
      <c r="J638" s="151"/>
      <c r="K638" s="204"/>
    </row>
    <row r="639" spans="1:11" s="179" customFormat="1" ht="78.75" x14ac:dyDescent="0.25">
      <c r="A639" s="139">
        <v>186</v>
      </c>
      <c r="B639" s="246" t="s">
        <v>126</v>
      </c>
      <c r="C639" s="145" t="s">
        <v>14</v>
      </c>
      <c r="D639" s="145" t="s">
        <v>16</v>
      </c>
      <c r="E639" s="146">
        <v>471000</v>
      </c>
      <c r="F639" s="146">
        <v>635266.93999999994</v>
      </c>
      <c r="G639" s="162">
        <f t="shared" si="32"/>
        <v>134.87620806794055</v>
      </c>
      <c r="H639" s="148">
        <v>100</v>
      </c>
      <c r="I639" s="241"/>
      <c r="J639" s="246" t="s">
        <v>433</v>
      </c>
      <c r="K639" s="188"/>
    </row>
    <row r="640" spans="1:11" s="226" customFormat="1" x14ac:dyDescent="0.25">
      <c r="A640" s="189"/>
      <c r="B640" s="151" t="s">
        <v>19</v>
      </c>
      <c r="C640" s="150"/>
      <c r="D640" s="150"/>
      <c r="E640" s="152">
        <v>471000</v>
      </c>
      <c r="F640" s="152">
        <v>635266.93999999994</v>
      </c>
      <c r="G640" s="170">
        <f t="shared" si="32"/>
        <v>134.87620806794055</v>
      </c>
      <c r="H640" s="154"/>
      <c r="I640" s="242"/>
      <c r="J640" s="151"/>
      <c r="K640" s="204"/>
    </row>
    <row r="641" spans="1:11" s="179" customFormat="1" ht="78.75" x14ac:dyDescent="0.25">
      <c r="A641" s="139">
        <v>187</v>
      </c>
      <c r="B641" s="246" t="s">
        <v>503</v>
      </c>
      <c r="C641" s="145" t="s">
        <v>14</v>
      </c>
      <c r="D641" s="145" t="s">
        <v>16</v>
      </c>
      <c r="E641" s="146">
        <v>41800</v>
      </c>
      <c r="F641" s="146">
        <v>62246.81</v>
      </c>
      <c r="G641" s="162">
        <f t="shared" si="32"/>
        <v>148.91581339712917</v>
      </c>
      <c r="H641" s="148">
        <v>100</v>
      </c>
      <c r="I641" s="241"/>
      <c r="J641" s="246" t="s">
        <v>433</v>
      </c>
      <c r="K641" s="188"/>
    </row>
    <row r="642" spans="1:11" s="226" customFormat="1" x14ac:dyDescent="0.25">
      <c r="A642" s="189"/>
      <c r="B642" s="151" t="s">
        <v>19</v>
      </c>
      <c r="C642" s="150"/>
      <c r="D642" s="150"/>
      <c r="E642" s="152">
        <v>41800</v>
      </c>
      <c r="F642" s="152">
        <v>62246.81</v>
      </c>
      <c r="G642" s="170">
        <f t="shared" si="32"/>
        <v>148.91581339712917</v>
      </c>
      <c r="H642" s="154"/>
      <c r="I642" s="242"/>
      <c r="J642" s="237"/>
      <c r="K642" s="204"/>
    </row>
    <row r="643" spans="1:11" s="179" customFormat="1" x14ac:dyDescent="0.25">
      <c r="A643" s="139"/>
      <c r="B643" s="159" t="s">
        <v>54</v>
      </c>
      <c r="C643" s="145"/>
      <c r="D643" s="145"/>
      <c r="E643" s="160">
        <f>E635+E637+E639+E641</f>
        <v>2299200</v>
      </c>
      <c r="F643" s="160">
        <f>F635+F637+F639+F641</f>
        <v>2497647.89</v>
      </c>
      <c r="G643" s="169">
        <f t="shared" si="32"/>
        <v>108.63117127696592</v>
      </c>
      <c r="H643" s="148"/>
      <c r="I643" s="241"/>
      <c r="J643" s="243"/>
      <c r="K643" s="188"/>
    </row>
    <row r="644" spans="1:11" s="226" customFormat="1" x14ac:dyDescent="0.25">
      <c r="A644" s="189"/>
      <c r="B644" s="151" t="s">
        <v>19</v>
      </c>
      <c r="C644" s="150"/>
      <c r="D644" s="150"/>
      <c r="E644" s="152">
        <f>E636+E638+E640+E642</f>
        <v>2299200</v>
      </c>
      <c r="F644" s="152">
        <f>F636+F638+F640+F642</f>
        <v>2497647.89</v>
      </c>
      <c r="G644" s="170">
        <f t="shared" si="32"/>
        <v>108.63117127696592</v>
      </c>
      <c r="H644" s="154"/>
      <c r="I644" s="242"/>
      <c r="J644" s="237"/>
      <c r="K644" s="204"/>
    </row>
    <row r="645" spans="1:11" ht="16.5" x14ac:dyDescent="0.25">
      <c r="A645" s="550" t="s">
        <v>127</v>
      </c>
      <c r="B645" s="550"/>
      <c r="C645" s="550"/>
      <c r="D645" s="550"/>
      <c r="E645" s="550"/>
      <c r="F645" s="550"/>
      <c r="G645" s="550"/>
      <c r="H645" s="550"/>
      <c r="I645" s="550"/>
      <c r="J645" s="550"/>
      <c r="K645" s="550"/>
    </row>
    <row r="646" spans="1:11" s="179" customFormat="1" ht="126" x14ac:dyDescent="0.25">
      <c r="A646" s="139">
        <v>188</v>
      </c>
      <c r="B646" s="246" t="s">
        <v>128</v>
      </c>
      <c r="C646" s="145" t="s">
        <v>14</v>
      </c>
      <c r="D646" s="145" t="s">
        <v>16</v>
      </c>
      <c r="E646" s="146">
        <v>14670</v>
      </c>
      <c r="F646" s="146">
        <v>14670</v>
      </c>
      <c r="G646" s="162">
        <f>F646/E646*100</f>
        <v>100</v>
      </c>
      <c r="H646" s="148">
        <v>100</v>
      </c>
      <c r="I646" s="243"/>
      <c r="J646" s="246" t="s">
        <v>433</v>
      </c>
      <c r="K646" s="188"/>
    </row>
    <row r="647" spans="1:11" s="226" customFormat="1" x14ac:dyDescent="0.25">
      <c r="A647" s="189"/>
      <c r="B647" s="151" t="s">
        <v>13</v>
      </c>
      <c r="C647" s="150"/>
      <c r="D647" s="150"/>
      <c r="E647" s="152">
        <v>14670</v>
      </c>
      <c r="F647" s="152">
        <v>14670</v>
      </c>
      <c r="G647" s="170">
        <f t="shared" ref="G647" si="33">F647/E647*100</f>
        <v>100</v>
      </c>
      <c r="H647" s="154"/>
      <c r="I647" s="237"/>
      <c r="J647" s="151"/>
      <c r="K647" s="204"/>
    </row>
    <row r="648" spans="1:11" s="179" customFormat="1" ht="173.25" x14ac:dyDescent="0.25">
      <c r="A648" s="139">
        <v>189</v>
      </c>
      <c r="B648" s="246" t="s">
        <v>129</v>
      </c>
      <c r="C648" s="145" t="s">
        <v>14</v>
      </c>
      <c r="D648" s="145" t="s">
        <v>16</v>
      </c>
      <c r="E648" s="146">
        <f>SUM(E649:E653)</f>
        <v>35730</v>
      </c>
      <c r="F648" s="146">
        <f>SUM(F649:F653)</f>
        <v>35730</v>
      </c>
      <c r="G648" s="162">
        <f>F648/E648*100</f>
        <v>100</v>
      </c>
      <c r="H648" s="148">
        <v>100</v>
      </c>
      <c r="I648" s="243"/>
      <c r="J648" s="246" t="s">
        <v>433</v>
      </c>
      <c r="K648" s="188"/>
    </row>
    <row r="649" spans="1:11" s="179" customFormat="1" x14ac:dyDescent="0.25">
      <c r="A649" s="139"/>
      <c r="B649" s="246" t="s">
        <v>130</v>
      </c>
      <c r="C649" s="145"/>
      <c r="D649" s="145"/>
      <c r="E649" s="146">
        <v>5310</v>
      </c>
      <c r="F649" s="146">
        <v>5310</v>
      </c>
      <c r="G649" s="162">
        <f t="shared" ref="G649:G668" si="34">F649/E649*100</f>
        <v>100</v>
      </c>
      <c r="H649" s="148"/>
      <c r="I649" s="243"/>
      <c r="J649" s="246"/>
      <c r="K649" s="188"/>
    </row>
    <row r="650" spans="1:11" s="179" customFormat="1" x14ac:dyDescent="0.25">
      <c r="A650" s="139"/>
      <c r="B650" s="246" t="s">
        <v>131</v>
      </c>
      <c r="C650" s="145"/>
      <c r="D650" s="145"/>
      <c r="E650" s="146">
        <v>5310</v>
      </c>
      <c r="F650" s="146">
        <v>5310</v>
      </c>
      <c r="G650" s="162">
        <f t="shared" si="34"/>
        <v>100</v>
      </c>
      <c r="H650" s="148"/>
      <c r="I650" s="243"/>
      <c r="J650" s="246"/>
      <c r="K650" s="188"/>
    </row>
    <row r="651" spans="1:11" s="179" customFormat="1" x14ac:dyDescent="0.25">
      <c r="A651" s="139"/>
      <c r="B651" s="246" t="s">
        <v>132</v>
      </c>
      <c r="C651" s="145"/>
      <c r="D651" s="145"/>
      <c r="E651" s="146">
        <v>5310</v>
      </c>
      <c r="F651" s="146">
        <v>5310</v>
      </c>
      <c r="G651" s="162">
        <f t="shared" si="34"/>
        <v>100</v>
      </c>
      <c r="H651" s="148"/>
      <c r="I651" s="243"/>
      <c r="J651" s="246"/>
      <c r="K651" s="188"/>
    </row>
    <row r="652" spans="1:11" s="179" customFormat="1" x14ac:dyDescent="0.25">
      <c r="A652" s="139"/>
      <c r="B652" s="246" t="s">
        <v>133</v>
      </c>
      <c r="C652" s="145"/>
      <c r="D652" s="145"/>
      <c r="E652" s="146">
        <v>14490</v>
      </c>
      <c r="F652" s="146">
        <v>14490</v>
      </c>
      <c r="G652" s="162">
        <f t="shared" si="34"/>
        <v>100</v>
      </c>
      <c r="H652" s="148"/>
      <c r="I652" s="243"/>
      <c r="J652" s="246"/>
      <c r="K652" s="188"/>
    </row>
    <row r="653" spans="1:11" s="179" customFormat="1" x14ac:dyDescent="0.25">
      <c r="A653" s="139"/>
      <c r="B653" s="246" t="s">
        <v>134</v>
      </c>
      <c r="C653" s="145"/>
      <c r="D653" s="145"/>
      <c r="E653" s="146">
        <v>5310</v>
      </c>
      <c r="F653" s="146">
        <v>5310</v>
      </c>
      <c r="G653" s="162">
        <f t="shared" si="34"/>
        <v>100</v>
      </c>
      <c r="H653" s="148"/>
      <c r="I653" s="243"/>
      <c r="J653" s="246"/>
      <c r="K653" s="188"/>
    </row>
    <row r="654" spans="1:11" s="226" customFormat="1" x14ac:dyDescent="0.25">
      <c r="A654" s="189"/>
      <c r="B654" s="151" t="s">
        <v>13</v>
      </c>
      <c r="C654" s="150"/>
      <c r="D654" s="150"/>
      <c r="E654" s="152">
        <f>E648</f>
        <v>35730</v>
      </c>
      <c r="F654" s="152">
        <f t="shared" ref="F654" si="35">F648</f>
        <v>35730</v>
      </c>
      <c r="G654" s="170">
        <f t="shared" si="34"/>
        <v>100</v>
      </c>
      <c r="H654" s="154"/>
      <c r="I654" s="237"/>
      <c r="J654" s="151"/>
      <c r="K654" s="204"/>
    </row>
    <row r="655" spans="1:11" s="179" customFormat="1" ht="78.75" x14ac:dyDescent="0.25">
      <c r="A655" s="139">
        <v>190</v>
      </c>
      <c r="B655" s="246" t="s">
        <v>272</v>
      </c>
      <c r="C655" s="145" t="s">
        <v>14</v>
      </c>
      <c r="D655" s="145" t="s">
        <v>16</v>
      </c>
      <c r="E655" s="146">
        <v>8640</v>
      </c>
      <c r="F655" s="146">
        <v>8640</v>
      </c>
      <c r="G655" s="162">
        <f t="shared" si="34"/>
        <v>100</v>
      </c>
      <c r="H655" s="148">
        <v>100</v>
      </c>
      <c r="I655" s="243"/>
      <c r="J655" s="246" t="s">
        <v>433</v>
      </c>
      <c r="K655" s="188"/>
    </row>
    <row r="656" spans="1:11" s="226" customFormat="1" x14ac:dyDescent="0.25">
      <c r="A656" s="189"/>
      <c r="B656" s="151" t="s">
        <v>13</v>
      </c>
      <c r="C656" s="150"/>
      <c r="D656" s="150"/>
      <c r="E656" s="152">
        <v>8640</v>
      </c>
      <c r="F656" s="152">
        <v>8640</v>
      </c>
      <c r="G656" s="170">
        <f t="shared" si="34"/>
        <v>100</v>
      </c>
      <c r="H656" s="154"/>
      <c r="I656" s="237"/>
      <c r="J656" s="151"/>
      <c r="K656" s="204"/>
    </row>
    <row r="657" spans="1:11" s="179" customFormat="1" ht="173.25" x14ac:dyDescent="0.25">
      <c r="A657" s="139">
        <v>191</v>
      </c>
      <c r="B657" s="246" t="s">
        <v>273</v>
      </c>
      <c r="C657" s="145" t="s">
        <v>92</v>
      </c>
      <c r="D657" s="145" t="s">
        <v>16</v>
      </c>
      <c r="E657" s="146">
        <v>2771</v>
      </c>
      <c r="F657" s="146">
        <v>2771</v>
      </c>
      <c r="G657" s="162">
        <f t="shared" si="34"/>
        <v>100</v>
      </c>
      <c r="H657" s="148">
        <v>100</v>
      </c>
      <c r="I657" s="243"/>
      <c r="J657" s="246" t="s">
        <v>433</v>
      </c>
      <c r="K657" s="188"/>
    </row>
    <row r="658" spans="1:11" s="226" customFormat="1" x14ac:dyDescent="0.25">
      <c r="A658" s="189"/>
      <c r="B658" s="151" t="s">
        <v>13</v>
      </c>
      <c r="C658" s="150"/>
      <c r="D658" s="150"/>
      <c r="E658" s="152">
        <v>2771</v>
      </c>
      <c r="F658" s="152">
        <v>2771</v>
      </c>
      <c r="G658" s="170">
        <f t="shared" si="34"/>
        <v>100</v>
      </c>
      <c r="H658" s="154"/>
      <c r="I658" s="237"/>
      <c r="J658" s="151"/>
      <c r="K658" s="204"/>
    </row>
    <row r="659" spans="1:11" s="179" customFormat="1" ht="173.25" x14ac:dyDescent="0.25">
      <c r="A659" s="139">
        <v>192</v>
      </c>
      <c r="B659" s="246" t="s">
        <v>136</v>
      </c>
      <c r="C659" s="145" t="s">
        <v>50</v>
      </c>
      <c r="D659" s="145" t="s">
        <v>16</v>
      </c>
      <c r="E659" s="146">
        <f>E660+E661</f>
        <v>7603</v>
      </c>
      <c r="F659" s="146">
        <f>F660+F661</f>
        <v>7603</v>
      </c>
      <c r="G659" s="162">
        <f t="shared" si="34"/>
        <v>100</v>
      </c>
      <c r="H659" s="148">
        <v>100</v>
      </c>
      <c r="I659" s="243"/>
      <c r="J659" s="246" t="s">
        <v>433</v>
      </c>
      <c r="K659" s="188"/>
    </row>
    <row r="660" spans="1:11" s="179" customFormat="1" x14ac:dyDescent="0.25">
      <c r="A660" s="139"/>
      <c r="B660" s="246" t="s">
        <v>137</v>
      </c>
      <c r="C660" s="145"/>
      <c r="D660" s="145"/>
      <c r="E660" s="146">
        <v>2590</v>
      </c>
      <c r="F660" s="146">
        <v>2590</v>
      </c>
      <c r="G660" s="162">
        <f t="shared" si="34"/>
        <v>100</v>
      </c>
      <c r="H660" s="148"/>
      <c r="I660" s="243"/>
      <c r="J660" s="243"/>
      <c r="K660" s="188"/>
    </row>
    <row r="661" spans="1:11" s="179" customFormat="1" ht="78.75" x14ac:dyDescent="0.25">
      <c r="A661" s="139"/>
      <c r="B661" s="246" t="s">
        <v>138</v>
      </c>
      <c r="C661" s="248"/>
      <c r="D661" s="248"/>
      <c r="E661" s="146">
        <v>5013</v>
      </c>
      <c r="F661" s="146">
        <v>5013</v>
      </c>
      <c r="G661" s="162">
        <f t="shared" si="34"/>
        <v>100</v>
      </c>
      <c r="H661" s="249"/>
      <c r="I661" s="234"/>
      <c r="J661" s="234"/>
      <c r="K661" s="188"/>
    </row>
    <row r="662" spans="1:11" s="226" customFormat="1" x14ac:dyDescent="0.25">
      <c r="A662" s="189"/>
      <c r="B662" s="151" t="s">
        <v>13</v>
      </c>
      <c r="C662" s="231"/>
      <c r="D662" s="231"/>
      <c r="E662" s="152">
        <v>7603</v>
      </c>
      <c r="F662" s="152">
        <v>7603</v>
      </c>
      <c r="G662" s="170">
        <f t="shared" si="34"/>
        <v>100</v>
      </c>
      <c r="H662" s="233"/>
      <c r="I662" s="235"/>
      <c r="J662" s="235"/>
      <c r="K662" s="204"/>
    </row>
    <row r="663" spans="1:11" s="179" customFormat="1" x14ac:dyDescent="0.25">
      <c r="A663" s="139"/>
      <c r="B663" s="159" t="s">
        <v>54</v>
      </c>
      <c r="C663" s="250"/>
      <c r="D663" s="250"/>
      <c r="E663" s="160">
        <f>E646+E648+E655+E657+E662</f>
        <v>69414</v>
      </c>
      <c r="F663" s="160">
        <f>F646+F648+F655+F657+F662</f>
        <v>69414</v>
      </c>
      <c r="G663" s="162">
        <f t="shared" si="34"/>
        <v>100</v>
      </c>
      <c r="H663" s="251"/>
      <c r="I663" s="252"/>
      <c r="J663" s="252"/>
      <c r="K663" s="188"/>
    </row>
    <row r="664" spans="1:11" s="226" customFormat="1" x14ac:dyDescent="0.25">
      <c r="A664" s="189"/>
      <c r="B664" s="151" t="s">
        <v>13</v>
      </c>
      <c r="C664" s="253"/>
      <c r="D664" s="253"/>
      <c r="E664" s="152">
        <f>E647+E654+E656+E658+E662</f>
        <v>69414</v>
      </c>
      <c r="F664" s="152">
        <f>F647+F654+F656+F658+F662</f>
        <v>69414</v>
      </c>
      <c r="G664" s="170">
        <f t="shared" si="34"/>
        <v>100</v>
      </c>
      <c r="H664" s="254"/>
      <c r="I664" s="255"/>
      <c r="J664" s="255"/>
      <c r="K664" s="204"/>
    </row>
    <row r="665" spans="1:11" ht="19.5" x14ac:dyDescent="0.25">
      <c r="A665" s="139"/>
      <c r="B665" s="165" t="s">
        <v>73</v>
      </c>
      <c r="C665" s="250"/>
      <c r="D665" s="250"/>
      <c r="E665" s="160">
        <f>E666+E667+E668</f>
        <v>3271381</v>
      </c>
      <c r="F665" s="160">
        <f>F666+F667+F668</f>
        <v>3468691.96</v>
      </c>
      <c r="G665" s="169">
        <f t="shared" si="34"/>
        <v>106.0314270945512</v>
      </c>
      <c r="H665" s="251"/>
      <c r="I665" s="252"/>
      <c r="J665" s="256"/>
      <c r="K665" s="143"/>
    </row>
    <row r="666" spans="1:11" s="155" customFormat="1" ht="19.5" x14ac:dyDescent="0.25">
      <c r="A666" s="189"/>
      <c r="B666" s="166" t="s">
        <v>13</v>
      </c>
      <c r="C666" s="253"/>
      <c r="D666" s="253"/>
      <c r="E666" s="152">
        <f>E524+E540+E549+E561+E574+E579+E584+E607+E628+E633+E664</f>
        <v>938181</v>
      </c>
      <c r="F666" s="152">
        <f>F524+F540+F549+F561+F574+F579+F584+F607+F628+F633+F664</f>
        <v>937044.07</v>
      </c>
      <c r="G666" s="170">
        <f t="shared" si="34"/>
        <v>99.878815495091018</v>
      </c>
      <c r="H666" s="254"/>
      <c r="I666" s="255"/>
      <c r="J666" s="255"/>
      <c r="K666" s="191"/>
    </row>
    <row r="667" spans="1:11" s="155" customFormat="1" ht="19.5" x14ac:dyDescent="0.25">
      <c r="A667" s="189"/>
      <c r="B667" s="166" t="s">
        <v>144</v>
      </c>
      <c r="C667" s="253"/>
      <c r="D667" s="253"/>
      <c r="E667" s="152">
        <f>E644</f>
        <v>2299200</v>
      </c>
      <c r="F667" s="152">
        <f>F644</f>
        <v>2497647.89</v>
      </c>
      <c r="G667" s="170">
        <f t="shared" si="34"/>
        <v>108.63117127696592</v>
      </c>
      <c r="H667" s="254"/>
      <c r="I667" s="255"/>
      <c r="J667" s="255"/>
      <c r="K667" s="191"/>
    </row>
    <row r="668" spans="1:11" s="155" customFormat="1" ht="33" x14ac:dyDescent="0.25">
      <c r="A668" s="189"/>
      <c r="B668" s="166" t="s">
        <v>139</v>
      </c>
      <c r="C668" s="253"/>
      <c r="D668" s="253"/>
      <c r="E668" s="152">
        <f>E525+E608</f>
        <v>34000</v>
      </c>
      <c r="F668" s="152">
        <f>F525+F608</f>
        <v>34000</v>
      </c>
      <c r="G668" s="170">
        <f t="shared" si="34"/>
        <v>100</v>
      </c>
      <c r="H668" s="254"/>
      <c r="I668" s="255"/>
      <c r="J668" s="255"/>
      <c r="K668" s="191"/>
    </row>
    <row r="669" spans="1:11" ht="19.5" x14ac:dyDescent="0.25">
      <c r="A669" s="139"/>
      <c r="B669" s="166"/>
      <c r="C669" s="141"/>
      <c r="D669" s="141"/>
      <c r="E669" s="141"/>
      <c r="F669" s="141"/>
      <c r="G669" s="141"/>
      <c r="H669" s="142"/>
      <c r="I669" s="143"/>
      <c r="J669" s="143"/>
      <c r="K669" s="143"/>
    </row>
    <row r="670" spans="1:11" ht="16.5" x14ac:dyDescent="0.25">
      <c r="A670" s="558" t="s">
        <v>308</v>
      </c>
      <c r="B670" s="558"/>
      <c r="C670" s="558"/>
      <c r="D670" s="558"/>
      <c r="E670" s="558"/>
      <c r="F670" s="558"/>
      <c r="G670" s="558"/>
      <c r="H670" s="558"/>
      <c r="I670" s="558"/>
      <c r="J670" s="558"/>
      <c r="K670" s="558"/>
    </row>
    <row r="671" spans="1:11" ht="16.5" x14ac:dyDescent="0.25">
      <c r="A671" s="550" t="s">
        <v>309</v>
      </c>
      <c r="B671" s="550"/>
      <c r="C671" s="550"/>
      <c r="D671" s="550"/>
      <c r="E671" s="550"/>
      <c r="F671" s="550"/>
      <c r="G671" s="550"/>
      <c r="H671" s="550"/>
      <c r="I671" s="550"/>
      <c r="J671" s="550"/>
      <c r="K671" s="550"/>
    </row>
    <row r="672" spans="1:11" ht="78.75" x14ac:dyDescent="0.25">
      <c r="A672" s="139">
        <v>193</v>
      </c>
      <c r="B672" s="246" t="s">
        <v>40</v>
      </c>
      <c r="C672" s="145" t="s">
        <v>14</v>
      </c>
      <c r="D672" s="145" t="s">
        <v>16</v>
      </c>
      <c r="E672" s="147">
        <v>3561465</v>
      </c>
      <c r="F672" s="146">
        <v>3366465.65</v>
      </c>
      <c r="G672" s="147">
        <f t="shared" ref="G672:G735" si="36">F672/E672*100</f>
        <v>94.524743328939081</v>
      </c>
      <c r="H672" s="193">
        <v>100</v>
      </c>
      <c r="I672" s="143"/>
      <c r="J672" s="149" t="s">
        <v>433</v>
      </c>
      <c r="K672" s="143"/>
    </row>
    <row r="673" spans="1:11" s="155" customFormat="1" ht="19.5" x14ac:dyDescent="0.25">
      <c r="A673" s="189"/>
      <c r="B673" s="151" t="s">
        <v>13</v>
      </c>
      <c r="C673" s="190"/>
      <c r="D673" s="190"/>
      <c r="E673" s="153">
        <v>3561465</v>
      </c>
      <c r="F673" s="152">
        <v>3366465.65</v>
      </c>
      <c r="G673" s="153">
        <f t="shared" si="36"/>
        <v>94.524743328939081</v>
      </c>
      <c r="H673" s="192"/>
      <c r="I673" s="191"/>
      <c r="J673" s="191"/>
      <c r="K673" s="191"/>
    </row>
    <row r="674" spans="1:11" ht="141.75" x14ac:dyDescent="0.25">
      <c r="A674" s="139">
        <v>194</v>
      </c>
      <c r="B674" s="246" t="s">
        <v>310</v>
      </c>
      <c r="C674" s="145" t="s">
        <v>14</v>
      </c>
      <c r="D674" s="145" t="s">
        <v>16</v>
      </c>
      <c r="E674" s="147">
        <v>197790</v>
      </c>
      <c r="F674" s="146">
        <v>193586.98</v>
      </c>
      <c r="G674" s="147">
        <f t="shared" si="36"/>
        <v>97.875008847767845</v>
      </c>
      <c r="H674" s="193">
        <v>100</v>
      </c>
      <c r="I674" s="143"/>
      <c r="J674" s="149" t="s">
        <v>433</v>
      </c>
      <c r="K674" s="143"/>
    </row>
    <row r="675" spans="1:11" s="155" customFormat="1" ht="19.5" x14ac:dyDescent="0.25">
      <c r="A675" s="189"/>
      <c r="B675" s="151" t="s">
        <v>13</v>
      </c>
      <c r="C675" s="190"/>
      <c r="D675" s="190"/>
      <c r="E675" s="153">
        <v>197790</v>
      </c>
      <c r="F675" s="152">
        <v>193586.98</v>
      </c>
      <c r="G675" s="153">
        <f t="shared" si="36"/>
        <v>97.875008847767845</v>
      </c>
      <c r="H675" s="192"/>
      <c r="I675" s="191"/>
      <c r="J675" s="191"/>
      <c r="K675" s="191"/>
    </row>
    <row r="676" spans="1:11" ht="78.75" x14ac:dyDescent="0.25">
      <c r="A676" s="139">
        <v>195</v>
      </c>
      <c r="B676" s="246" t="s">
        <v>41</v>
      </c>
      <c r="C676" s="145" t="s">
        <v>14</v>
      </c>
      <c r="D676" s="145" t="s">
        <v>16</v>
      </c>
      <c r="E676" s="147">
        <v>138150</v>
      </c>
      <c r="F676" s="146">
        <v>117092.49</v>
      </c>
      <c r="G676" s="147">
        <f t="shared" si="36"/>
        <v>84.757502714440818</v>
      </c>
      <c r="H676" s="193">
        <v>100</v>
      </c>
      <c r="I676" s="143"/>
      <c r="J676" s="149" t="s">
        <v>433</v>
      </c>
      <c r="K676" s="143"/>
    </row>
    <row r="677" spans="1:11" s="155" customFormat="1" ht="19.5" x14ac:dyDescent="0.25">
      <c r="A677" s="189"/>
      <c r="B677" s="151" t="s">
        <v>13</v>
      </c>
      <c r="C677" s="190"/>
      <c r="D677" s="190"/>
      <c r="E677" s="153">
        <v>138150</v>
      </c>
      <c r="F677" s="152">
        <v>117092.49</v>
      </c>
      <c r="G677" s="153">
        <f t="shared" si="36"/>
        <v>84.757502714440818</v>
      </c>
      <c r="H677" s="192"/>
      <c r="I677" s="191"/>
      <c r="J677" s="191"/>
      <c r="K677" s="191"/>
    </row>
    <row r="678" spans="1:11" ht="63" x14ac:dyDescent="0.25">
      <c r="A678" s="139">
        <v>196</v>
      </c>
      <c r="B678" s="246" t="s">
        <v>42</v>
      </c>
      <c r="C678" s="145" t="s">
        <v>14</v>
      </c>
      <c r="D678" s="145" t="s">
        <v>16</v>
      </c>
      <c r="E678" s="147">
        <v>9737</v>
      </c>
      <c r="F678" s="146">
        <v>5918.43</v>
      </c>
      <c r="G678" s="147">
        <f t="shared" si="36"/>
        <v>60.782890007189074</v>
      </c>
      <c r="H678" s="193">
        <v>100</v>
      </c>
      <c r="I678" s="143"/>
      <c r="J678" s="149" t="s">
        <v>433</v>
      </c>
      <c r="K678" s="143"/>
    </row>
    <row r="679" spans="1:11" s="155" customFormat="1" ht="19.5" x14ac:dyDescent="0.25">
      <c r="A679" s="189"/>
      <c r="B679" s="151" t="s">
        <v>13</v>
      </c>
      <c r="C679" s="190"/>
      <c r="D679" s="190"/>
      <c r="E679" s="153">
        <v>9737</v>
      </c>
      <c r="F679" s="152">
        <v>5918.43</v>
      </c>
      <c r="G679" s="153">
        <f t="shared" si="36"/>
        <v>60.782890007189074</v>
      </c>
      <c r="H679" s="192"/>
      <c r="I679" s="191"/>
      <c r="J679" s="191"/>
      <c r="K679" s="191"/>
    </row>
    <row r="680" spans="1:11" ht="63" x14ac:dyDescent="0.25">
      <c r="A680" s="139">
        <v>197</v>
      </c>
      <c r="B680" s="246" t="s">
        <v>43</v>
      </c>
      <c r="C680" s="145" t="s">
        <v>26</v>
      </c>
      <c r="D680" s="145" t="s">
        <v>280</v>
      </c>
      <c r="E680" s="171">
        <f>E682+E683+E684+E685+E686+E687+E688</f>
        <v>18203067.600000001</v>
      </c>
      <c r="F680" s="171">
        <f>F682+F683+F684+F685+F686+F687+F688</f>
        <v>21840015.022</v>
      </c>
      <c r="G680" s="147">
        <f>F680/E680*100</f>
        <v>119.97985999898171</v>
      </c>
      <c r="H680" s="193">
        <v>100</v>
      </c>
      <c r="I680" s="143"/>
      <c r="J680" s="149" t="s">
        <v>504</v>
      </c>
      <c r="K680" s="143"/>
    </row>
    <row r="681" spans="1:11" s="155" customFormat="1" ht="19.5" x14ac:dyDescent="0.25">
      <c r="A681" s="189"/>
      <c r="B681" s="151" t="s">
        <v>312</v>
      </c>
      <c r="C681" s="190"/>
      <c r="D681" s="190"/>
      <c r="E681" s="174">
        <f>E682+E683+E684+E685+E686+E687+E688</f>
        <v>18203067.600000001</v>
      </c>
      <c r="F681" s="174">
        <f>F682+F683+F684+F685+F686+F687+F688</f>
        <v>21840015.022</v>
      </c>
      <c r="G681" s="153">
        <f>F681/E681*100</f>
        <v>119.97985999898171</v>
      </c>
      <c r="H681" s="192"/>
      <c r="I681" s="191"/>
      <c r="J681" s="191"/>
      <c r="K681" s="191"/>
    </row>
    <row r="682" spans="1:11" ht="19.5" x14ac:dyDescent="0.25">
      <c r="A682" s="139"/>
      <c r="B682" s="163" t="s">
        <v>28</v>
      </c>
      <c r="C682" s="141"/>
      <c r="D682" s="141"/>
      <c r="E682" s="146">
        <f>E691+E700+E709+E727+E732+E741+E750+E758</f>
        <v>842909</v>
      </c>
      <c r="F682" s="146">
        <f>F691+F700+F709+F727+F732+F741+F750+F758</f>
        <v>684046.28</v>
      </c>
      <c r="G682" s="147">
        <f t="shared" si="36"/>
        <v>81.153040245151018</v>
      </c>
      <c r="H682" s="142"/>
      <c r="I682" s="143"/>
      <c r="J682" s="143"/>
      <c r="K682" s="143"/>
    </row>
    <row r="683" spans="1:11" ht="19.5" x14ac:dyDescent="0.25">
      <c r="A683" s="139"/>
      <c r="B683" s="163" t="s">
        <v>29</v>
      </c>
      <c r="C683" s="141"/>
      <c r="D683" s="141"/>
      <c r="E683" s="146">
        <f>E692+E701+E710+E718+E733+E742+E759</f>
        <v>900009.2</v>
      </c>
      <c r="F683" s="146">
        <f>F692+F701+F710+F718+F733+F742+F759</f>
        <v>858790.51</v>
      </c>
      <c r="G683" s="147">
        <f t="shared" si="36"/>
        <v>95.42019237136688</v>
      </c>
      <c r="H683" s="142"/>
      <c r="I683" s="143"/>
      <c r="J683" s="143"/>
      <c r="K683" s="143"/>
    </row>
    <row r="684" spans="1:11" ht="19.5" x14ac:dyDescent="0.25">
      <c r="A684" s="139"/>
      <c r="B684" s="163" t="s">
        <v>30</v>
      </c>
      <c r="C684" s="141"/>
      <c r="D684" s="141"/>
      <c r="E684" s="146">
        <f>E693+E702+E711+E734+E743+E760</f>
        <v>1745957.05</v>
      </c>
      <c r="F684" s="146">
        <f>F693+F702+F711+F734+F743+F760</f>
        <v>1744475.76</v>
      </c>
      <c r="G684" s="147">
        <f t="shared" si="36"/>
        <v>99.915158852275326</v>
      </c>
      <c r="H684" s="142"/>
      <c r="I684" s="143"/>
      <c r="J684" s="143"/>
      <c r="K684" s="143"/>
    </row>
    <row r="685" spans="1:11" ht="19.5" x14ac:dyDescent="0.25">
      <c r="A685" s="139"/>
      <c r="B685" s="163" t="s">
        <v>31</v>
      </c>
      <c r="C685" s="141"/>
      <c r="D685" s="141"/>
      <c r="E685" s="146">
        <f>E694+E703+E712+E720+E735+E744+E751+E754+E761</f>
        <v>829986.32000000007</v>
      </c>
      <c r="F685" s="146">
        <f>F694+F703+F712+F720+F735+F744+F751+F754+F761</f>
        <v>807978.72199999995</v>
      </c>
      <c r="G685" s="147">
        <f t="shared" si="36"/>
        <v>97.348438465829162</v>
      </c>
      <c r="H685" s="142"/>
      <c r="I685" s="143"/>
      <c r="J685" s="143"/>
      <c r="K685" s="143"/>
    </row>
    <row r="686" spans="1:11" ht="19.5" x14ac:dyDescent="0.25">
      <c r="A686" s="139"/>
      <c r="B686" s="163" t="s">
        <v>32</v>
      </c>
      <c r="C686" s="141"/>
      <c r="D686" s="141"/>
      <c r="E686" s="146">
        <f>E695+E704+E713+E724+E728+E736+E745+E762</f>
        <v>2326558</v>
      </c>
      <c r="F686" s="146">
        <f>F695+F704+F713+F724+F728+F736+F745+F762</f>
        <v>2323343.63</v>
      </c>
      <c r="G686" s="147">
        <f t="shared" si="36"/>
        <v>99.861840108864669</v>
      </c>
      <c r="H686" s="142"/>
      <c r="I686" s="143"/>
      <c r="J686" s="143"/>
      <c r="K686" s="143"/>
    </row>
    <row r="687" spans="1:11" ht="19.5" x14ac:dyDescent="0.25">
      <c r="A687" s="139"/>
      <c r="B687" s="163" t="s">
        <v>33</v>
      </c>
      <c r="C687" s="141"/>
      <c r="D687" s="141"/>
      <c r="E687" s="146">
        <f>E696+E705+E714+E721+E729+E737+E746+E763</f>
        <v>355385</v>
      </c>
      <c r="F687" s="146">
        <f>F696+F705+F714+F721+F729+F737+F746+F763</f>
        <v>540501.87</v>
      </c>
      <c r="G687" s="147">
        <f t="shared" si="36"/>
        <v>152.089106180621</v>
      </c>
      <c r="H687" s="142"/>
      <c r="I687" s="143"/>
      <c r="J687" s="143"/>
      <c r="K687" s="143"/>
    </row>
    <row r="688" spans="1:11" ht="19.5" x14ac:dyDescent="0.25">
      <c r="A688" s="139"/>
      <c r="B688" s="163" t="s">
        <v>34</v>
      </c>
      <c r="C688" s="141"/>
      <c r="D688" s="141"/>
      <c r="E688" s="146">
        <f>E697+E706+E715+E719+E738+E747+E755</f>
        <v>11202263.029999999</v>
      </c>
      <c r="F688" s="146">
        <f>F697+F706+F715+F719+F738+F747+F755</f>
        <v>14880878.249999998</v>
      </c>
      <c r="G688" s="147">
        <f t="shared" si="36"/>
        <v>132.83814359784765</v>
      </c>
      <c r="H688" s="142"/>
      <c r="I688" s="143"/>
      <c r="J688" s="143"/>
      <c r="K688" s="143"/>
    </row>
    <row r="689" spans="1:11" ht="47.25" x14ac:dyDescent="0.25">
      <c r="A689" s="139" t="s">
        <v>505</v>
      </c>
      <c r="B689" s="246" t="s">
        <v>311</v>
      </c>
      <c r="C689" s="145" t="s">
        <v>26</v>
      </c>
      <c r="D689" s="145" t="s">
        <v>280</v>
      </c>
      <c r="E689" s="171">
        <f>E690</f>
        <v>3570014.8499999996</v>
      </c>
      <c r="F689" s="171">
        <f>F690</f>
        <v>3184337.47</v>
      </c>
      <c r="G689" s="147">
        <f t="shared" si="36"/>
        <v>89.196756982677556</v>
      </c>
      <c r="H689" s="193">
        <v>100</v>
      </c>
      <c r="I689" s="143"/>
      <c r="J689" s="149" t="s">
        <v>504</v>
      </c>
      <c r="K689" s="143"/>
    </row>
    <row r="690" spans="1:11" s="155" customFormat="1" ht="19.5" x14ac:dyDescent="0.25">
      <c r="A690" s="189"/>
      <c r="B690" s="151" t="s">
        <v>312</v>
      </c>
      <c r="C690" s="190"/>
      <c r="D690" s="190"/>
      <c r="E690" s="174">
        <f>E691+E692+E693+E694+E695+E696+E697</f>
        <v>3570014.8499999996</v>
      </c>
      <c r="F690" s="174">
        <f>F691+F692+F693+F694+F695+F696+F697</f>
        <v>3184337.47</v>
      </c>
      <c r="G690" s="153">
        <f t="shared" si="36"/>
        <v>89.196756982677556</v>
      </c>
      <c r="H690" s="192"/>
      <c r="I690" s="191"/>
      <c r="J690" s="191"/>
      <c r="K690" s="191"/>
    </row>
    <row r="691" spans="1:11" ht="19.5" x14ac:dyDescent="0.25">
      <c r="A691" s="139"/>
      <c r="B691" s="163" t="s">
        <v>28</v>
      </c>
      <c r="C691" s="141"/>
      <c r="D691" s="141"/>
      <c r="E691" s="171">
        <v>170000</v>
      </c>
      <c r="F691" s="146">
        <v>161165.45000000001</v>
      </c>
      <c r="G691" s="147">
        <f t="shared" si="36"/>
        <v>94.803205882352941</v>
      </c>
      <c r="H691" s="193"/>
      <c r="I691" s="143"/>
      <c r="J691" s="143"/>
      <c r="K691" s="143"/>
    </row>
    <row r="692" spans="1:11" ht="19.5" x14ac:dyDescent="0.25">
      <c r="A692" s="139"/>
      <c r="B692" s="163" t="s">
        <v>29</v>
      </c>
      <c r="C692" s="141"/>
      <c r="D692" s="141"/>
      <c r="E692" s="171">
        <v>10000</v>
      </c>
      <c r="F692" s="146">
        <v>23635</v>
      </c>
      <c r="G692" s="147">
        <f t="shared" si="36"/>
        <v>236.35000000000002</v>
      </c>
      <c r="H692" s="193"/>
      <c r="I692" s="143"/>
      <c r="J692" s="143"/>
      <c r="K692" s="143"/>
    </row>
    <row r="693" spans="1:11" ht="19.5" x14ac:dyDescent="0.25">
      <c r="A693" s="139"/>
      <c r="B693" s="163" t="s">
        <v>30</v>
      </c>
      <c r="C693" s="141"/>
      <c r="D693" s="141"/>
      <c r="E693" s="171">
        <v>525000</v>
      </c>
      <c r="F693" s="146">
        <v>515885.24</v>
      </c>
      <c r="G693" s="147">
        <f t="shared" si="36"/>
        <v>98.263855238095232</v>
      </c>
      <c r="H693" s="193"/>
      <c r="I693" s="149"/>
      <c r="J693" s="143"/>
      <c r="K693" s="143"/>
    </row>
    <row r="694" spans="1:11" ht="19.5" x14ac:dyDescent="0.25">
      <c r="A694" s="139"/>
      <c r="B694" s="163" t="s">
        <v>31</v>
      </c>
      <c r="C694" s="141"/>
      <c r="D694" s="141"/>
      <c r="E694" s="171">
        <v>246828.82</v>
      </c>
      <c r="F694" s="146">
        <v>219015.82</v>
      </c>
      <c r="G694" s="147">
        <f t="shared" si="36"/>
        <v>88.731866886532941</v>
      </c>
      <c r="H694" s="193"/>
      <c r="I694" s="143"/>
      <c r="J694" s="143"/>
      <c r="K694" s="143"/>
    </row>
    <row r="695" spans="1:11" ht="19.5" x14ac:dyDescent="0.25">
      <c r="A695" s="139"/>
      <c r="B695" s="163" t="s">
        <v>32</v>
      </c>
      <c r="C695" s="141"/>
      <c r="D695" s="141"/>
      <c r="E695" s="171">
        <v>40000</v>
      </c>
      <c r="F695" s="146">
        <v>36780</v>
      </c>
      <c r="G695" s="147">
        <f t="shared" si="36"/>
        <v>91.95</v>
      </c>
      <c r="H695" s="193"/>
      <c r="I695" s="143"/>
      <c r="J695" s="143"/>
      <c r="K695" s="143"/>
    </row>
    <row r="696" spans="1:11" ht="19.5" x14ac:dyDescent="0.25">
      <c r="A696" s="139"/>
      <c r="B696" s="163" t="s">
        <v>33</v>
      </c>
      <c r="C696" s="141"/>
      <c r="D696" s="141"/>
      <c r="E696" s="171">
        <v>6719</v>
      </c>
      <c r="F696" s="146">
        <v>5841.86</v>
      </c>
      <c r="G696" s="147">
        <f t="shared" si="36"/>
        <v>86.945378776603661</v>
      </c>
      <c r="H696" s="193"/>
      <c r="I696" s="143"/>
      <c r="J696" s="143"/>
      <c r="K696" s="143"/>
    </row>
    <row r="697" spans="1:11" ht="19.5" x14ac:dyDescent="0.25">
      <c r="A697" s="139"/>
      <c r="B697" s="163" t="s">
        <v>34</v>
      </c>
      <c r="C697" s="141"/>
      <c r="D697" s="141"/>
      <c r="E697" s="171">
        <v>2571467.0299999998</v>
      </c>
      <c r="F697" s="146">
        <v>2222014.1</v>
      </c>
      <c r="G697" s="147">
        <f t="shared" si="36"/>
        <v>86.410367081393233</v>
      </c>
      <c r="H697" s="193"/>
      <c r="I697" s="149"/>
      <c r="J697" s="143"/>
      <c r="K697" s="143"/>
    </row>
    <row r="698" spans="1:11" ht="47.25" x14ac:dyDescent="0.25">
      <c r="A698" s="139" t="s">
        <v>506</v>
      </c>
      <c r="B698" s="246" t="s">
        <v>313</v>
      </c>
      <c r="C698" s="145" t="s">
        <v>26</v>
      </c>
      <c r="D698" s="145" t="s">
        <v>280</v>
      </c>
      <c r="E698" s="171">
        <f>E699</f>
        <v>8144627</v>
      </c>
      <c r="F698" s="171">
        <f>F699</f>
        <v>12302591.039999999</v>
      </c>
      <c r="G698" s="147">
        <f t="shared" si="36"/>
        <v>151.05162016627648</v>
      </c>
      <c r="H698" s="193">
        <v>100</v>
      </c>
      <c r="I698" s="143"/>
      <c r="J698" s="149" t="s">
        <v>504</v>
      </c>
      <c r="K698" s="143"/>
    </row>
    <row r="699" spans="1:11" ht="19.5" x14ac:dyDescent="0.25">
      <c r="A699" s="139"/>
      <c r="B699" s="151" t="s">
        <v>312</v>
      </c>
      <c r="C699" s="141"/>
      <c r="D699" s="141"/>
      <c r="E699" s="174">
        <f>E700+E701+E702+E703+E704+E705+E706</f>
        <v>8144627</v>
      </c>
      <c r="F699" s="174">
        <f>F700+F701+F702+F703+F704+F705+F706</f>
        <v>12302591.039999999</v>
      </c>
      <c r="G699" s="153">
        <f t="shared" si="36"/>
        <v>151.05162016627648</v>
      </c>
      <c r="H699" s="142"/>
      <c r="I699" s="143"/>
      <c r="J699" s="143"/>
      <c r="K699" s="143"/>
    </row>
    <row r="700" spans="1:11" ht="19.5" x14ac:dyDescent="0.25">
      <c r="A700" s="139"/>
      <c r="B700" s="163" t="s">
        <v>28</v>
      </c>
      <c r="C700" s="141"/>
      <c r="D700" s="141"/>
      <c r="E700" s="174"/>
      <c r="F700" s="171">
        <v>48702.47</v>
      </c>
      <c r="G700" s="153"/>
      <c r="H700" s="193"/>
      <c r="I700" s="143"/>
      <c r="J700" s="143"/>
      <c r="K700" s="143"/>
    </row>
    <row r="701" spans="1:11" ht="19.5" x14ac:dyDescent="0.25">
      <c r="A701" s="139"/>
      <c r="B701" s="163" t="s">
        <v>29</v>
      </c>
      <c r="C701" s="141"/>
      <c r="D701" s="141"/>
      <c r="E701" s="171">
        <v>100000</v>
      </c>
      <c r="F701" s="171">
        <v>139814.47</v>
      </c>
      <c r="G701" s="147">
        <f t="shared" si="36"/>
        <v>139.81447</v>
      </c>
      <c r="H701" s="193"/>
      <c r="I701" s="143"/>
      <c r="J701" s="143"/>
      <c r="K701" s="143"/>
    </row>
    <row r="702" spans="1:11" ht="19.5" x14ac:dyDescent="0.25">
      <c r="A702" s="139"/>
      <c r="B702" s="163" t="s">
        <v>30</v>
      </c>
      <c r="C702" s="141"/>
      <c r="D702" s="141"/>
      <c r="E702" s="171">
        <v>1003867</v>
      </c>
      <c r="F702" s="146">
        <v>1013172.31</v>
      </c>
      <c r="G702" s="147">
        <f t="shared" si="36"/>
        <v>100.92694649789264</v>
      </c>
      <c r="H702" s="193"/>
      <c r="I702" s="143"/>
      <c r="J702" s="143"/>
      <c r="K702" s="143"/>
    </row>
    <row r="703" spans="1:11" ht="19.5" x14ac:dyDescent="0.25">
      <c r="A703" s="139"/>
      <c r="B703" s="163" t="s">
        <v>31</v>
      </c>
      <c r="C703" s="141"/>
      <c r="D703" s="141"/>
      <c r="E703" s="171">
        <v>29350</v>
      </c>
      <c r="F703" s="146">
        <v>32132.44</v>
      </c>
      <c r="G703" s="147">
        <f t="shared" si="36"/>
        <v>109.48020442930154</v>
      </c>
      <c r="H703" s="193"/>
      <c r="I703" s="149"/>
      <c r="J703" s="143"/>
      <c r="K703" s="143"/>
    </row>
    <row r="704" spans="1:11" ht="19.5" x14ac:dyDescent="0.25">
      <c r="A704" s="139"/>
      <c r="B704" s="163" t="s">
        <v>32</v>
      </c>
      <c r="C704" s="141"/>
      <c r="D704" s="141"/>
      <c r="E704" s="171"/>
      <c r="F704" s="146"/>
      <c r="G704" s="147"/>
      <c r="H704" s="193"/>
      <c r="I704" s="143"/>
      <c r="J704" s="143"/>
      <c r="K704" s="143"/>
    </row>
    <row r="705" spans="1:11" ht="19.5" x14ac:dyDescent="0.25">
      <c r="A705" s="139"/>
      <c r="B705" s="163" t="s">
        <v>33</v>
      </c>
      <c r="C705" s="141"/>
      <c r="D705" s="141"/>
      <c r="E705" s="171">
        <v>92810</v>
      </c>
      <c r="F705" s="146">
        <v>125264.5</v>
      </c>
      <c r="G705" s="147">
        <f t="shared" si="36"/>
        <v>134.96875336709405</v>
      </c>
      <c r="H705" s="193"/>
      <c r="I705" s="143"/>
      <c r="J705" s="143"/>
      <c r="K705" s="143"/>
    </row>
    <row r="706" spans="1:11" ht="19.5" x14ac:dyDescent="0.25">
      <c r="A706" s="139"/>
      <c r="B706" s="163" t="s">
        <v>34</v>
      </c>
      <c r="C706" s="141"/>
      <c r="D706" s="141"/>
      <c r="E706" s="171">
        <v>6918600</v>
      </c>
      <c r="F706" s="146">
        <v>10943504.85</v>
      </c>
      <c r="G706" s="147">
        <f t="shared" si="36"/>
        <v>158.17513442025844</v>
      </c>
      <c r="H706" s="193"/>
      <c r="I706" s="143"/>
      <c r="J706" s="143"/>
      <c r="K706" s="143"/>
    </row>
    <row r="707" spans="1:11" ht="47.25" x14ac:dyDescent="0.25">
      <c r="A707" s="139" t="s">
        <v>507</v>
      </c>
      <c r="B707" s="246" t="s">
        <v>314</v>
      </c>
      <c r="C707" s="145" t="s">
        <v>26</v>
      </c>
      <c r="D707" s="145" t="s">
        <v>280</v>
      </c>
      <c r="E707" s="171">
        <f>E708</f>
        <v>1535663.96</v>
      </c>
      <c r="F707" s="171">
        <f>F708</f>
        <v>1431203.77</v>
      </c>
      <c r="G707" s="147">
        <f t="shared" si="36"/>
        <v>93.19771820392269</v>
      </c>
      <c r="H707" s="193">
        <v>100</v>
      </c>
      <c r="I707" s="143"/>
      <c r="J707" s="149" t="s">
        <v>504</v>
      </c>
      <c r="K707" s="143"/>
    </row>
    <row r="708" spans="1:11" ht="19.5" x14ac:dyDescent="0.25">
      <c r="A708" s="139"/>
      <c r="B708" s="151" t="s">
        <v>312</v>
      </c>
      <c r="C708" s="141"/>
      <c r="D708" s="141"/>
      <c r="E708" s="174">
        <f>E709+E710+E711+E712+E713+E714+E715</f>
        <v>1535663.96</v>
      </c>
      <c r="F708" s="174">
        <f>F709+F710+F711+F712+F713+F714+F715</f>
        <v>1431203.77</v>
      </c>
      <c r="G708" s="153">
        <f t="shared" si="36"/>
        <v>93.19771820392269</v>
      </c>
      <c r="H708" s="142"/>
      <c r="I708" s="143"/>
      <c r="J708" s="143"/>
      <c r="K708" s="143"/>
    </row>
    <row r="709" spans="1:11" ht="19.5" x14ac:dyDescent="0.25">
      <c r="A709" s="139"/>
      <c r="B709" s="163" t="s">
        <v>28</v>
      </c>
      <c r="C709" s="141"/>
      <c r="D709" s="141"/>
      <c r="E709" s="171">
        <v>7500</v>
      </c>
      <c r="F709" s="146">
        <v>7490.36</v>
      </c>
      <c r="G709" s="147">
        <f t="shared" si="36"/>
        <v>99.871466666666663</v>
      </c>
      <c r="H709" s="193"/>
      <c r="I709" s="143"/>
      <c r="J709" s="143"/>
      <c r="K709" s="143"/>
    </row>
    <row r="710" spans="1:11" ht="19.5" x14ac:dyDescent="0.25">
      <c r="A710" s="139"/>
      <c r="B710" s="163" t="s">
        <v>29</v>
      </c>
      <c r="C710" s="141"/>
      <c r="D710" s="141"/>
      <c r="E710" s="171">
        <v>280747</v>
      </c>
      <c r="F710" s="146">
        <v>285439.40000000002</v>
      </c>
      <c r="G710" s="147">
        <f t="shared" si="36"/>
        <v>101.67139809152013</v>
      </c>
      <c r="H710" s="193"/>
      <c r="I710" s="143"/>
      <c r="J710" s="143"/>
      <c r="K710" s="143"/>
    </row>
    <row r="711" spans="1:11" ht="19.5" x14ac:dyDescent="0.25">
      <c r="A711" s="139"/>
      <c r="B711" s="163" t="s">
        <v>30</v>
      </c>
      <c r="C711" s="141"/>
      <c r="D711" s="141"/>
      <c r="E711" s="171">
        <v>27815.96</v>
      </c>
      <c r="F711" s="146">
        <v>27554.65</v>
      </c>
      <c r="G711" s="147">
        <f t="shared" si="36"/>
        <v>99.060575295621661</v>
      </c>
      <c r="H711" s="193"/>
      <c r="I711" s="143"/>
      <c r="J711" s="143"/>
      <c r="K711" s="143"/>
    </row>
    <row r="712" spans="1:11" ht="19.5" x14ac:dyDescent="0.25">
      <c r="A712" s="139"/>
      <c r="B712" s="163" t="s">
        <v>31</v>
      </c>
      <c r="C712" s="141"/>
      <c r="D712" s="141"/>
      <c r="E712" s="171">
        <v>63300</v>
      </c>
      <c r="F712" s="146">
        <v>63224.81</v>
      </c>
      <c r="G712" s="147">
        <f t="shared" si="36"/>
        <v>99.881216429699833</v>
      </c>
      <c r="H712" s="193"/>
      <c r="I712" s="143"/>
      <c r="J712" s="143"/>
      <c r="K712" s="143"/>
    </row>
    <row r="713" spans="1:11" ht="19.5" x14ac:dyDescent="0.25">
      <c r="A713" s="139"/>
      <c r="B713" s="163" t="s">
        <v>32</v>
      </c>
      <c r="C713" s="141"/>
      <c r="D713" s="141"/>
      <c r="E713" s="171">
        <v>423725</v>
      </c>
      <c r="F713" s="146">
        <v>354435.24</v>
      </c>
      <c r="G713" s="147">
        <f t="shared" si="36"/>
        <v>83.647469467225193</v>
      </c>
      <c r="H713" s="193"/>
      <c r="I713" s="143"/>
      <c r="J713" s="143"/>
      <c r="K713" s="143"/>
    </row>
    <row r="714" spans="1:11" ht="19.5" x14ac:dyDescent="0.25">
      <c r="A714" s="139"/>
      <c r="B714" s="163" t="s">
        <v>33</v>
      </c>
      <c r="C714" s="141"/>
      <c r="D714" s="141"/>
      <c r="E714" s="171">
        <v>101500</v>
      </c>
      <c r="F714" s="146">
        <v>101498.11</v>
      </c>
      <c r="G714" s="147">
        <f t="shared" si="36"/>
        <v>99.998137931034478</v>
      </c>
      <c r="H714" s="193"/>
      <c r="I714" s="143"/>
      <c r="J714" s="143"/>
      <c r="K714" s="143"/>
    </row>
    <row r="715" spans="1:11" ht="19.5" x14ac:dyDescent="0.25">
      <c r="A715" s="139"/>
      <c r="B715" s="163" t="s">
        <v>34</v>
      </c>
      <c r="C715" s="141"/>
      <c r="D715" s="141"/>
      <c r="E715" s="171">
        <v>631076</v>
      </c>
      <c r="F715" s="146">
        <v>591561.19999999995</v>
      </c>
      <c r="G715" s="147">
        <f t="shared" si="36"/>
        <v>93.738503761828994</v>
      </c>
      <c r="H715" s="193"/>
      <c r="I715" s="143"/>
      <c r="J715" s="143"/>
      <c r="K715" s="143"/>
    </row>
    <row r="716" spans="1:11" ht="63" x14ac:dyDescent="0.25">
      <c r="A716" s="139" t="s">
        <v>508</v>
      </c>
      <c r="B716" s="246" t="s">
        <v>315</v>
      </c>
      <c r="C716" s="145" t="s">
        <v>26</v>
      </c>
      <c r="D716" s="145" t="s">
        <v>280</v>
      </c>
      <c r="E716" s="171">
        <f>E717</f>
        <v>547282.19999999995</v>
      </c>
      <c r="F716" s="171">
        <f>F717</f>
        <v>550872.8899999999</v>
      </c>
      <c r="G716" s="147">
        <f t="shared" si="36"/>
        <v>100.65609478985429</v>
      </c>
      <c r="H716" s="193">
        <v>100</v>
      </c>
      <c r="I716" s="143"/>
      <c r="J716" s="149" t="s">
        <v>504</v>
      </c>
      <c r="K716" s="143"/>
    </row>
    <row r="717" spans="1:11" ht="19.5" x14ac:dyDescent="0.25">
      <c r="A717" s="139"/>
      <c r="B717" s="151" t="s">
        <v>312</v>
      </c>
      <c r="C717" s="141"/>
      <c r="D717" s="141"/>
      <c r="E717" s="174">
        <f>E718+E719+E720+E721</f>
        <v>547282.19999999995</v>
      </c>
      <c r="F717" s="174">
        <f>F718+F719+F720+F721</f>
        <v>550872.8899999999</v>
      </c>
      <c r="G717" s="153">
        <f t="shared" si="36"/>
        <v>100.65609478985429</v>
      </c>
      <c r="H717" s="142"/>
      <c r="I717" s="143"/>
      <c r="J717" s="143"/>
      <c r="K717" s="143"/>
    </row>
    <row r="718" spans="1:11" ht="19.5" x14ac:dyDescent="0.25">
      <c r="A718" s="139"/>
      <c r="B718" s="163" t="s">
        <v>29</v>
      </c>
      <c r="C718" s="141"/>
      <c r="D718" s="141"/>
      <c r="E718" s="171">
        <v>297282.2</v>
      </c>
      <c r="F718" s="146">
        <v>203038.58</v>
      </c>
      <c r="G718" s="147">
        <f t="shared" si="36"/>
        <v>68.298263400903252</v>
      </c>
      <c r="H718" s="193"/>
      <c r="I718" s="143"/>
      <c r="J718" s="143"/>
      <c r="K718" s="143"/>
    </row>
    <row r="719" spans="1:11" ht="19.5" x14ac:dyDescent="0.25">
      <c r="A719" s="139"/>
      <c r="B719" s="163" t="s">
        <v>34</v>
      </c>
      <c r="C719" s="141"/>
      <c r="D719" s="141"/>
      <c r="E719" s="171">
        <v>250000</v>
      </c>
      <c r="F719" s="146">
        <v>296867</v>
      </c>
      <c r="G719" s="147">
        <f t="shared" si="36"/>
        <v>118.74679999999999</v>
      </c>
      <c r="H719" s="193"/>
      <c r="I719" s="143"/>
      <c r="J719" s="143"/>
      <c r="K719" s="143"/>
    </row>
    <row r="720" spans="1:11" ht="19.5" x14ac:dyDescent="0.25">
      <c r="A720" s="139"/>
      <c r="B720" s="163" t="s">
        <v>31</v>
      </c>
      <c r="C720" s="141"/>
      <c r="D720" s="141"/>
      <c r="E720" s="171"/>
      <c r="F720" s="146">
        <v>3563.85</v>
      </c>
      <c r="G720" s="147"/>
      <c r="H720" s="193"/>
      <c r="I720" s="143"/>
      <c r="J720" s="143"/>
      <c r="K720" s="143"/>
    </row>
    <row r="721" spans="1:11" ht="19.5" x14ac:dyDescent="0.25">
      <c r="A721" s="139"/>
      <c r="B721" s="163" t="s">
        <v>33</v>
      </c>
      <c r="C721" s="141"/>
      <c r="D721" s="141"/>
      <c r="E721" s="171"/>
      <c r="F721" s="146">
        <v>47403.46</v>
      </c>
      <c r="G721" s="147"/>
      <c r="H721" s="193"/>
      <c r="I721" s="143"/>
      <c r="J721" s="143"/>
      <c r="K721" s="143"/>
    </row>
    <row r="722" spans="1:11" ht="47.25" x14ac:dyDescent="0.25">
      <c r="A722" s="139" t="s">
        <v>509</v>
      </c>
      <c r="B722" s="163" t="s">
        <v>316</v>
      </c>
      <c r="C722" s="145" t="s">
        <v>26</v>
      </c>
      <c r="D722" s="145" t="s">
        <v>280</v>
      </c>
      <c r="E722" s="171">
        <f>E723</f>
        <v>1579200</v>
      </c>
      <c r="F722" s="171">
        <f>F723</f>
        <v>1579169.97</v>
      </c>
      <c r="G722" s="147">
        <f t="shared" si="36"/>
        <v>99.998098404255316</v>
      </c>
      <c r="H722" s="193">
        <v>100</v>
      </c>
      <c r="I722" s="143"/>
      <c r="J722" s="149" t="s">
        <v>504</v>
      </c>
      <c r="K722" s="143"/>
    </row>
    <row r="723" spans="1:11" ht="19.5" x14ac:dyDescent="0.25">
      <c r="A723" s="139"/>
      <c r="B723" s="151" t="s">
        <v>312</v>
      </c>
      <c r="C723" s="141"/>
      <c r="D723" s="141"/>
      <c r="E723" s="174">
        <f>E724</f>
        <v>1579200</v>
      </c>
      <c r="F723" s="174">
        <f>F724</f>
        <v>1579169.97</v>
      </c>
      <c r="G723" s="153">
        <f t="shared" si="36"/>
        <v>99.998098404255316</v>
      </c>
      <c r="H723" s="142"/>
      <c r="I723" s="143"/>
      <c r="J723" s="143"/>
      <c r="K723" s="143"/>
    </row>
    <row r="724" spans="1:11" ht="19.5" x14ac:dyDescent="0.25">
      <c r="A724" s="139"/>
      <c r="B724" s="163" t="s">
        <v>32</v>
      </c>
      <c r="C724" s="141"/>
      <c r="D724" s="141"/>
      <c r="E724" s="171">
        <v>1579200</v>
      </c>
      <c r="F724" s="146">
        <v>1579169.97</v>
      </c>
      <c r="G724" s="147">
        <f t="shared" si="36"/>
        <v>99.998098404255316</v>
      </c>
      <c r="H724" s="193"/>
      <c r="I724" s="143"/>
      <c r="J724" s="143"/>
      <c r="K724" s="143"/>
    </row>
    <row r="725" spans="1:11" ht="78.75" x14ac:dyDescent="0.25">
      <c r="A725" s="139" t="s">
        <v>510</v>
      </c>
      <c r="B725" s="246" t="s">
        <v>318</v>
      </c>
      <c r="C725" s="145" t="s">
        <v>317</v>
      </c>
      <c r="D725" s="145" t="s">
        <v>280</v>
      </c>
      <c r="E725" s="171">
        <f>E726</f>
        <v>19000</v>
      </c>
      <c r="F725" s="171">
        <f>F726</f>
        <v>18500</v>
      </c>
      <c r="G725" s="147">
        <f t="shared" si="36"/>
        <v>97.368421052631575</v>
      </c>
      <c r="H725" s="193">
        <v>100</v>
      </c>
      <c r="I725" s="143"/>
      <c r="J725" s="149" t="s">
        <v>504</v>
      </c>
      <c r="K725" s="143"/>
    </row>
    <row r="726" spans="1:11" ht="19.5" x14ac:dyDescent="0.25">
      <c r="A726" s="139"/>
      <c r="B726" s="151" t="s">
        <v>312</v>
      </c>
      <c r="C726" s="141"/>
      <c r="D726" s="141"/>
      <c r="E726" s="174">
        <f>E727+E728+E729</f>
        <v>19000</v>
      </c>
      <c r="F726" s="174">
        <f>F727+F728+F729</f>
        <v>18500</v>
      </c>
      <c r="G726" s="153">
        <f t="shared" si="36"/>
        <v>97.368421052631575</v>
      </c>
      <c r="H726" s="142"/>
      <c r="I726" s="143"/>
      <c r="J726" s="143"/>
      <c r="K726" s="143"/>
    </row>
    <row r="727" spans="1:11" ht="19.5" x14ac:dyDescent="0.25">
      <c r="A727" s="139"/>
      <c r="B727" s="163" t="s">
        <v>28</v>
      </c>
      <c r="C727" s="141"/>
      <c r="D727" s="141"/>
      <c r="E727" s="257">
        <v>1000</v>
      </c>
      <c r="F727" s="257">
        <v>1000</v>
      </c>
      <c r="G727" s="147">
        <f t="shared" si="36"/>
        <v>100</v>
      </c>
      <c r="H727" s="193"/>
      <c r="I727" s="143"/>
      <c r="J727" s="143"/>
      <c r="K727" s="143"/>
    </row>
    <row r="728" spans="1:11" ht="19.5" x14ac:dyDescent="0.25">
      <c r="A728" s="139"/>
      <c r="B728" s="163" t="s">
        <v>32</v>
      </c>
      <c r="C728" s="141"/>
      <c r="D728" s="141"/>
      <c r="E728" s="257">
        <v>10000</v>
      </c>
      <c r="F728" s="146">
        <v>9500</v>
      </c>
      <c r="G728" s="147">
        <f t="shared" si="36"/>
        <v>95</v>
      </c>
      <c r="H728" s="193"/>
      <c r="I728" s="143"/>
      <c r="J728" s="143"/>
      <c r="K728" s="143"/>
    </row>
    <row r="729" spans="1:11" ht="19.5" x14ac:dyDescent="0.25">
      <c r="A729" s="139"/>
      <c r="B729" s="163" t="s">
        <v>33</v>
      </c>
      <c r="C729" s="141"/>
      <c r="D729" s="141"/>
      <c r="E729" s="257">
        <v>8000</v>
      </c>
      <c r="F729" s="257">
        <v>8000</v>
      </c>
      <c r="G729" s="147">
        <f t="shared" si="36"/>
        <v>100</v>
      </c>
      <c r="H729" s="193"/>
      <c r="I729" s="143"/>
      <c r="J729" s="143"/>
      <c r="K729" s="143"/>
    </row>
    <row r="730" spans="1:11" ht="47.25" x14ac:dyDescent="0.25">
      <c r="A730" s="139" t="s">
        <v>511</v>
      </c>
      <c r="B730" s="246" t="s">
        <v>319</v>
      </c>
      <c r="C730" s="145" t="s">
        <v>26</v>
      </c>
      <c r="D730" s="145" t="s">
        <v>280</v>
      </c>
      <c r="E730" s="171">
        <f>E731</f>
        <v>1741074.0899999999</v>
      </c>
      <c r="F730" s="171">
        <f>F731</f>
        <v>1687972.83</v>
      </c>
      <c r="G730" s="147">
        <f t="shared" si="36"/>
        <v>96.950086139068333</v>
      </c>
      <c r="H730" s="193">
        <v>100</v>
      </c>
      <c r="I730" s="143"/>
      <c r="J730" s="149" t="s">
        <v>504</v>
      </c>
      <c r="K730" s="143"/>
    </row>
    <row r="731" spans="1:11" ht="19.5" x14ac:dyDescent="0.25">
      <c r="A731" s="139"/>
      <c r="B731" s="151" t="s">
        <v>312</v>
      </c>
      <c r="C731" s="141"/>
      <c r="D731" s="141"/>
      <c r="E731" s="174">
        <f>E732+E733+E734+E735+E736+E737+E738</f>
        <v>1741074.0899999999</v>
      </c>
      <c r="F731" s="174">
        <f>F732+F733+F734+F735+F736+F737+F738</f>
        <v>1687972.83</v>
      </c>
      <c r="G731" s="153">
        <f t="shared" si="36"/>
        <v>96.950086139068333</v>
      </c>
      <c r="H731" s="142"/>
      <c r="I731" s="143"/>
      <c r="J731" s="143"/>
      <c r="K731" s="143"/>
    </row>
    <row r="732" spans="1:11" ht="19.5" x14ac:dyDescent="0.25">
      <c r="A732" s="139"/>
      <c r="B732" s="163" t="s">
        <v>28</v>
      </c>
      <c r="C732" s="141"/>
      <c r="D732" s="141"/>
      <c r="E732" s="257">
        <v>378429</v>
      </c>
      <c r="F732" s="146">
        <v>164806.5</v>
      </c>
      <c r="G732" s="147">
        <f t="shared" si="36"/>
        <v>43.550177179867298</v>
      </c>
      <c r="H732" s="193"/>
      <c r="I732" s="143"/>
      <c r="J732" s="143"/>
      <c r="K732" s="143"/>
    </row>
    <row r="733" spans="1:11" ht="19.5" x14ac:dyDescent="0.25">
      <c r="A733" s="139"/>
      <c r="B733" s="163" t="s">
        <v>29</v>
      </c>
      <c r="C733" s="141"/>
      <c r="D733" s="141"/>
      <c r="E733" s="257">
        <v>10430</v>
      </c>
      <c r="F733" s="146">
        <v>13881</v>
      </c>
      <c r="G733" s="147"/>
      <c r="H733" s="193"/>
      <c r="I733" s="143"/>
      <c r="J733" s="143"/>
      <c r="K733" s="143"/>
    </row>
    <row r="734" spans="1:11" ht="19.5" x14ac:dyDescent="0.25">
      <c r="A734" s="139"/>
      <c r="B734" s="163" t="s">
        <v>30</v>
      </c>
      <c r="C734" s="141"/>
      <c r="D734" s="141"/>
      <c r="E734" s="257">
        <v>107782.09</v>
      </c>
      <c r="F734" s="146">
        <v>104078.3</v>
      </c>
      <c r="G734" s="147">
        <f t="shared" si="36"/>
        <v>96.563631304607284</v>
      </c>
      <c r="H734" s="193"/>
      <c r="I734" s="143"/>
      <c r="J734" s="143"/>
      <c r="K734" s="143"/>
    </row>
    <row r="735" spans="1:11" ht="19.5" x14ac:dyDescent="0.25">
      <c r="A735" s="139"/>
      <c r="B735" s="163" t="s">
        <v>31</v>
      </c>
      <c r="C735" s="141"/>
      <c r="D735" s="141"/>
      <c r="E735" s="257">
        <v>335374.5</v>
      </c>
      <c r="F735" s="146">
        <v>322196.5</v>
      </c>
      <c r="G735" s="147">
        <f t="shared" si="36"/>
        <v>96.070661305495804</v>
      </c>
      <c r="H735" s="193"/>
      <c r="I735" s="143"/>
      <c r="J735" s="143"/>
      <c r="K735" s="143"/>
    </row>
    <row r="736" spans="1:11" ht="19.5" x14ac:dyDescent="0.25">
      <c r="A736" s="139"/>
      <c r="B736" s="163" t="s">
        <v>32</v>
      </c>
      <c r="C736" s="141"/>
      <c r="D736" s="141"/>
      <c r="E736" s="257">
        <v>172154.5</v>
      </c>
      <c r="F736" s="146">
        <v>233778.5</v>
      </c>
      <c r="G736" s="147">
        <f t="shared" ref="G736:G766" si="37">F736/E736*100</f>
        <v>135.79575323328754</v>
      </c>
      <c r="H736" s="193"/>
      <c r="I736" s="143"/>
      <c r="J736" s="143"/>
      <c r="K736" s="143"/>
    </row>
    <row r="737" spans="1:11" ht="19.5" x14ac:dyDescent="0.25">
      <c r="A737" s="139"/>
      <c r="B737" s="163" t="s">
        <v>33</v>
      </c>
      <c r="C737" s="141"/>
      <c r="D737" s="141"/>
      <c r="E737" s="257">
        <v>60904</v>
      </c>
      <c r="F737" s="146">
        <v>173242</v>
      </c>
      <c r="G737" s="147">
        <f t="shared" si="37"/>
        <v>284.45093918297653</v>
      </c>
      <c r="H737" s="193"/>
      <c r="I737" s="143"/>
      <c r="J737" s="143"/>
      <c r="K737" s="143"/>
    </row>
    <row r="738" spans="1:11" ht="19.5" x14ac:dyDescent="0.25">
      <c r="A738" s="139"/>
      <c r="B738" s="163" t="s">
        <v>34</v>
      </c>
      <c r="C738" s="141"/>
      <c r="D738" s="141"/>
      <c r="E738" s="257">
        <v>676000</v>
      </c>
      <c r="F738" s="146">
        <v>675990.03</v>
      </c>
      <c r="G738" s="147">
        <f t="shared" si="37"/>
        <v>99.998525147929001</v>
      </c>
      <c r="H738" s="193"/>
      <c r="I738" s="143"/>
      <c r="J738" s="143"/>
      <c r="K738" s="143"/>
    </row>
    <row r="739" spans="1:11" ht="63" x14ac:dyDescent="0.25">
      <c r="A739" s="139" t="s">
        <v>512</v>
      </c>
      <c r="B739" s="246" t="s">
        <v>320</v>
      </c>
      <c r="C739" s="145" t="s">
        <v>26</v>
      </c>
      <c r="D739" s="145" t="s">
        <v>280</v>
      </c>
      <c r="E739" s="171">
        <f>E740</f>
        <v>272081</v>
      </c>
      <c r="F739" s="171">
        <f>F740</f>
        <v>268869.81</v>
      </c>
      <c r="G739" s="147">
        <f t="shared" si="37"/>
        <v>98.819766907648827</v>
      </c>
      <c r="H739" s="193">
        <v>100</v>
      </c>
      <c r="I739" s="143"/>
      <c r="J739" s="149" t="s">
        <v>504</v>
      </c>
      <c r="K739" s="143"/>
    </row>
    <row r="740" spans="1:11" ht="19.5" x14ac:dyDescent="0.25">
      <c r="A740" s="139"/>
      <c r="B740" s="151" t="s">
        <v>312</v>
      </c>
      <c r="C740" s="141"/>
      <c r="D740" s="141"/>
      <c r="E740" s="171">
        <f>E741+E742+E743+E744+E745+E746+E747</f>
        <v>272081</v>
      </c>
      <c r="F740" s="174">
        <f>F741+F742+F743+F744+F745+F746+F747</f>
        <v>268869.81</v>
      </c>
      <c r="G740" s="153">
        <f t="shared" si="37"/>
        <v>98.819766907648827</v>
      </c>
      <c r="H740" s="142"/>
      <c r="I740" s="143"/>
      <c r="J740" s="143"/>
      <c r="K740" s="143"/>
    </row>
    <row r="741" spans="1:11" ht="19.5" x14ac:dyDescent="0.25">
      <c r="A741" s="139"/>
      <c r="B741" s="163" t="s">
        <v>28</v>
      </c>
      <c r="C741" s="141"/>
      <c r="D741" s="141"/>
      <c r="E741" s="171">
        <v>36440</v>
      </c>
      <c r="F741" s="146">
        <v>36776.68</v>
      </c>
      <c r="G741" s="147">
        <f t="shared" si="37"/>
        <v>100.9239297475302</v>
      </c>
      <c r="H741" s="193"/>
      <c r="I741" s="143"/>
      <c r="J741" s="143"/>
      <c r="K741" s="143"/>
    </row>
    <row r="742" spans="1:11" ht="19.5" x14ac:dyDescent="0.25">
      <c r="A742" s="139"/>
      <c r="B742" s="163" t="s">
        <v>29</v>
      </c>
      <c r="C742" s="141"/>
      <c r="D742" s="141"/>
      <c r="E742" s="171">
        <v>11055</v>
      </c>
      <c r="F742" s="146">
        <v>11352.9</v>
      </c>
      <c r="G742" s="147">
        <f t="shared" si="37"/>
        <v>102.69470827679783</v>
      </c>
      <c r="H742" s="193"/>
      <c r="I742" s="143"/>
      <c r="J742" s="143"/>
      <c r="K742" s="143"/>
    </row>
    <row r="743" spans="1:11" ht="19.5" x14ac:dyDescent="0.25">
      <c r="A743" s="139"/>
      <c r="B743" s="163" t="s">
        <v>30</v>
      </c>
      <c r="C743" s="141"/>
      <c r="D743" s="141"/>
      <c r="E743" s="171">
        <v>10000</v>
      </c>
      <c r="F743" s="146">
        <v>9993.83</v>
      </c>
      <c r="G743" s="147">
        <f t="shared" si="37"/>
        <v>99.938299999999998</v>
      </c>
      <c r="H743" s="193"/>
      <c r="I743" s="143"/>
      <c r="J743" s="143"/>
      <c r="K743" s="143"/>
    </row>
    <row r="744" spans="1:11" ht="19.5" x14ac:dyDescent="0.25">
      <c r="A744" s="139"/>
      <c r="B744" s="163" t="s">
        <v>31</v>
      </c>
      <c r="C744" s="141"/>
      <c r="D744" s="141"/>
      <c r="E744" s="171">
        <v>5250</v>
      </c>
      <c r="F744" s="146">
        <v>5650.62</v>
      </c>
      <c r="G744" s="147">
        <f t="shared" si="37"/>
        <v>107.63085714285714</v>
      </c>
      <c r="H744" s="193"/>
      <c r="I744" s="143"/>
      <c r="J744" s="143"/>
      <c r="K744" s="143"/>
    </row>
    <row r="745" spans="1:11" ht="19.5" x14ac:dyDescent="0.25">
      <c r="A745" s="139"/>
      <c r="B745" s="163" t="s">
        <v>32</v>
      </c>
      <c r="C745" s="141"/>
      <c r="D745" s="141"/>
      <c r="E745" s="171">
        <v>40900</v>
      </c>
      <c r="F745" s="146">
        <v>40843.160000000003</v>
      </c>
      <c r="G745" s="147">
        <f t="shared" si="37"/>
        <v>99.861026894865532</v>
      </c>
      <c r="H745" s="193"/>
      <c r="I745" s="143"/>
      <c r="J745" s="143"/>
      <c r="K745" s="143"/>
    </row>
    <row r="746" spans="1:11" ht="19.5" x14ac:dyDescent="0.25">
      <c r="A746" s="139"/>
      <c r="B746" s="163" t="s">
        <v>33</v>
      </c>
      <c r="C746" s="141"/>
      <c r="D746" s="141"/>
      <c r="E746" s="171">
        <v>51216</v>
      </c>
      <c r="F746" s="146">
        <v>51208.7</v>
      </c>
      <c r="G746" s="147">
        <f t="shared" si="37"/>
        <v>99.985746641674467</v>
      </c>
      <c r="H746" s="193"/>
      <c r="I746" s="143"/>
      <c r="J746" s="143"/>
      <c r="K746" s="143"/>
    </row>
    <row r="747" spans="1:11" ht="19.5" x14ac:dyDescent="0.25">
      <c r="A747" s="139"/>
      <c r="B747" s="163" t="s">
        <v>34</v>
      </c>
      <c r="C747" s="141"/>
      <c r="D747" s="141"/>
      <c r="E747" s="171">
        <v>117220</v>
      </c>
      <c r="F747" s="146">
        <v>113043.92</v>
      </c>
      <c r="G747" s="147">
        <f t="shared" si="37"/>
        <v>96.437399761132909</v>
      </c>
      <c r="H747" s="193"/>
      <c r="I747" s="143"/>
      <c r="J747" s="143"/>
      <c r="K747" s="143"/>
    </row>
    <row r="748" spans="1:11" ht="47.25" x14ac:dyDescent="0.25">
      <c r="A748" s="139" t="s">
        <v>513</v>
      </c>
      <c r="B748" s="246" t="s">
        <v>321</v>
      </c>
      <c r="C748" s="145" t="s">
        <v>26</v>
      </c>
      <c r="D748" s="145" t="s">
        <v>280</v>
      </c>
      <c r="E748" s="171">
        <f>E749</f>
        <v>1720</v>
      </c>
      <c r="F748" s="171">
        <f>F749</f>
        <v>952.42</v>
      </c>
      <c r="G748" s="147">
        <f t="shared" si="37"/>
        <v>55.373255813953485</v>
      </c>
      <c r="H748" s="193">
        <v>100</v>
      </c>
      <c r="I748" s="143"/>
      <c r="J748" s="149" t="s">
        <v>504</v>
      </c>
      <c r="K748" s="143"/>
    </row>
    <row r="749" spans="1:11" s="155" customFormat="1" ht="19.5" x14ac:dyDescent="0.25">
      <c r="A749" s="189"/>
      <c r="B749" s="151" t="s">
        <v>27</v>
      </c>
      <c r="C749" s="190"/>
      <c r="D749" s="190"/>
      <c r="E749" s="174">
        <f>E750+E751</f>
        <v>1720</v>
      </c>
      <c r="F749" s="174">
        <f>F750+F751</f>
        <v>952.42</v>
      </c>
      <c r="G749" s="153">
        <f t="shared" si="37"/>
        <v>55.373255813953485</v>
      </c>
      <c r="H749" s="192"/>
      <c r="I749" s="191"/>
      <c r="J749" s="191"/>
      <c r="K749" s="191"/>
    </row>
    <row r="750" spans="1:11" ht="19.5" x14ac:dyDescent="0.25">
      <c r="A750" s="139"/>
      <c r="B750" s="163" t="s">
        <v>28</v>
      </c>
      <c r="C750" s="141"/>
      <c r="D750" s="141"/>
      <c r="E750" s="171">
        <v>1300</v>
      </c>
      <c r="F750" s="146">
        <v>952.42</v>
      </c>
      <c r="G750" s="147">
        <f t="shared" si="37"/>
        <v>73.263076923076923</v>
      </c>
      <c r="H750" s="193"/>
      <c r="I750" s="143"/>
      <c r="J750" s="143"/>
      <c r="K750" s="143"/>
    </row>
    <row r="751" spans="1:11" ht="19.5" x14ac:dyDescent="0.25">
      <c r="A751" s="139"/>
      <c r="B751" s="163" t="s">
        <v>31</v>
      </c>
      <c r="C751" s="141"/>
      <c r="D751" s="141"/>
      <c r="E751" s="171">
        <v>420</v>
      </c>
      <c r="F751" s="146"/>
      <c r="G751" s="147"/>
      <c r="H751" s="193"/>
      <c r="I751" s="143"/>
      <c r="J751" s="143"/>
      <c r="K751" s="143"/>
    </row>
    <row r="752" spans="1:11" ht="78.75" x14ac:dyDescent="0.25">
      <c r="A752" s="139" t="s">
        <v>514</v>
      </c>
      <c r="B752" s="246" t="s">
        <v>515</v>
      </c>
      <c r="C752" s="145" t="s">
        <v>26</v>
      </c>
      <c r="D752" s="141"/>
      <c r="E752" s="171">
        <f>E753</f>
        <v>37900</v>
      </c>
      <c r="F752" s="171">
        <f>F753</f>
        <v>56488.072</v>
      </c>
      <c r="G752" s="147"/>
      <c r="H752" s="193">
        <v>100</v>
      </c>
      <c r="I752" s="143"/>
      <c r="J752" s="149" t="s">
        <v>504</v>
      </c>
      <c r="K752" s="143"/>
    </row>
    <row r="753" spans="1:11" ht="19.5" x14ac:dyDescent="0.25">
      <c r="A753" s="139"/>
      <c r="B753" s="151" t="s">
        <v>27</v>
      </c>
      <c r="C753" s="141"/>
      <c r="D753" s="141"/>
      <c r="E753" s="171">
        <f>E754+E755</f>
        <v>37900</v>
      </c>
      <c r="F753" s="171">
        <f>F754+F755</f>
        <v>56488.072</v>
      </c>
      <c r="G753" s="147"/>
      <c r="H753" s="193"/>
      <c r="I753" s="143"/>
      <c r="J753" s="143"/>
      <c r="K753" s="143"/>
    </row>
    <row r="754" spans="1:11" ht="19.5" x14ac:dyDescent="0.25">
      <c r="A754" s="139"/>
      <c r="B754" s="163" t="s">
        <v>31</v>
      </c>
      <c r="C754" s="141"/>
      <c r="D754" s="141"/>
      <c r="E754" s="171"/>
      <c r="F754" s="146">
        <v>18590.921999999999</v>
      </c>
      <c r="G754" s="147"/>
      <c r="H754" s="193"/>
      <c r="I754" s="143"/>
      <c r="J754" s="143"/>
      <c r="K754" s="143"/>
    </row>
    <row r="755" spans="1:11" ht="19.5" x14ac:dyDescent="0.25">
      <c r="A755" s="139"/>
      <c r="B755" s="163" t="s">
        <v>34</v>
      </c>
      <c r="C755" s="141"/>
      <c r="D755" s="141"/>
      <c r="E755" s="171">
        <v>37900</v>
      </c>
      <c r="F755" s="146">
        <v>37897.15</v>
      </c>
      <c r="G755" s="147"/>
      <c r="H755" s="193"/>
      <c r="I755" s="143"/>
      <c r="J755" s="143"/>
      <c r="K755" s="143"/>
    </row>
    <row r="756" spans="1:11" ht="47.25" x14ac:dyDescent="0.25">
      <c r="A756" s="139" t="s">
        <v>516</v>
      </c>
      <c r="B756" s="246" t="s">
        <v>322</v>
      </c>
      <c r="C756" s="145" t="s">
        <v>317</v>
      </c>
      <c r="D756" s="145" t="s">
        <v>280</v>
      </c>
      <c r="E756" s="171">
        <f>E757</f>
        <v>754504.5</v>
      </c>
      <c r="F756" s="171">
        <f>F757</f>
        <v>759056.75</v>
      </c>
      <c r="G756" s="147">
        <f t="shared" si="37"/>
        <v>100.60334298867669</v>
      </c>
      <c r="H756" s="193">
        <v>100</v>
      </c>
      <c r="I756" s="143"/>
      <c r="J756" s="149" t="s">
        <v>504</v>
      </c>
      <c r="K756" s="143"/>
    </row>
    <row r="757" spans="1:11" s="155" customFormat="1" ht="19.5" x14ac:dyDescent="0.25">
      <c r="A757" s="189"/>
      <c r="B757" s="151" t="s">
        <v>27</v>
      </c>
      <c r="C757" s="190"/>
      <c r="D757" s="190"/>
      <c r="E757" s="174">
        <f>E758+E759+E760+E761+E762+E763</f>
        <v>754504.5</v>
      </c>
      <c r="F757" s="174">
        <f>F758+F759+F760+F761+F762+F763</f>
        <v>759056.75</v>
      </c>
      <c r="G757" s="153">
        <f t="shared" si="37"/>
        <v>100.60334298867669</v>
      </c>
      <c r="H757" s="192"/>
      <c r="I757" s="191"/>
      <c r="J757" s="191"/>
      <c r="K757" s="191"/>
    </row>
    <row r="758" spans="1:11" ht="19.5" x14ac:dyDescent="0.25">
      <c r="A758" s="139"/>
      <c r="B758" s="163" t="s">
        <v>28</v>
      </c>
      <c r="C758" s="141"/>
      <c r="D758" s="141"/>
      <c r="E758" s="171">
        <v>248240</v>
      </c>
      <c r="F758" s="146">
        <v>263152.40000000002</v>
      </c>
      <c r="G758" s="147">
        <f t="shared" si="37"/>
        <v>106.00725104737352</v>
      </c>
      <c r="H758" s="193"/>
      <c r="I758" s="143"/>
      <c r="J758" s="143"/>
      <c r="K758" s="143"/>
    </row>
    <row r="759" spans="1:11" ht="19.5" x14ac:dyDescent="0.25">
      <c r="A759" s="139"/>
      <c r="B759" s="163" t="s">
        <v>29</v>
      </c>
      <c r="C759" s="141"/>
      <c r="D759" s="141"/>
      <c r="E759" s="171">
        <v>190495</v>
      </c>
      <c r="F759" s="146">
        <v>181629.16</v>
      </c>
      <c r="G759" s="147">
        <f t="shared" si="37"/>
        <v>95.345893593007688</v>
      </c>
      <c r="H759" s="193"/>
      <c r="I759" s="143"/>
      <c r="J759" s="143"/>
      <c r="K759" s="143"/>
    </row>
    <row r="760" spans="1:11" ht="19.5" x14ac:dyDescent="0.25">
      <c r="A760" s="139"/>
      <c r="B760" s="163" t="s">
        <v>30</v>
      </c>
      <c r="C760" s="141"/>
      <c r="D760" s="141"/>
      <c r="E760" s="171">
        <v>71492</v>
      </c>
      <c r="F760" s="146">
        <v>73791.429999999993</v>
      </c>
      <c r="G760" s="147">
        <f t="shared" si="37"/>
        <v>103.21634588485425</v>
      </c>
      <c r="H760" s="193"/>
      <c r="I760" s="143"/>
      <c r="J760" s="143"/>
      <c r="K760" s="143"/>
    </row>
    <row r="761" spans="1:11" ht="19.5" x14ac:dyDescent="0.25">
      <c r="A761" s="139"/>
      <c r="B761" s="163" t="s">
        <v>31</v>
      </c>
      <c r="C761" s="141"/>
      <c r="D761" s="141"/>
      <c r="E761" s="171">
        <v>149463</v>
      </c>
      <c r="F761" s="146">
        <v>143603.76</v>
      </c>
      <c r="G761" s="147">
        <f t="shared" si="37"/>
        <v>96.079805704421844</v>
      </c>
      <c r="H761" s="193"/>
      <c r="I761" s="143"/>
      <c r="J761" s="143"/>
      <c r="K761" s="143"/>
    </row>
    <row r="762" spans="1:11" ht="19.5" x14ac:dyDescent="0.25">
      <c r="A762" s="139"/>
      <c r="B762" s="163" t="s">
        <v>32</v>
      </c>
      <c r="C762" s="141"/>
      <c r="D762" s="141"/>
      <c r="E762" s="171">
        <v>60578.5</v>
      </c>
      <c r="F762" s="146">
        <v>68836.759999999995</v>
      </c>
      <c r="G762" s="147">
        <f t="shared" si="37"/>
        <v>113.63232830129502</v>
      </c>
      <c r="H762" s="193"/>
      <c r="I762" s="143"/>
      <c r="J762" s="143"/>
      <c r="K762" s="143"/>
    </row>
    <row r="763" spans="1:11" ht="19.5" x14ac:dyDescent="0.25">
      <c r="A763" s="139"/>
      <c r="B763" s="163" t="s">
        <v>33</v>
      </c>
      <c r="C763" s="141"/>
      <c r="D763" s="141"/>
      <c r="E763" s="171">
        <v>34236</v>
      </c>
      <c r="F763" s="171">
        <v>28043.24</v>
      </c>
      <c r="G763" s="147">
        <f t="shared" si="37"/>
        <v>81.911555088211244</v>
      </c>
      <c r="H763" s="193"/>
      <c r="I763" s="143"/>
      <c r="J763" s="143"/>
      <c r="K763" s="143"/>
    </row>
    <row r="764" spans="1:11" ht="19.5" x14ac:dyDescent="0.25">
      <c r="A764" s="139"/>
      <c r="B764" s="159" t="s">
        <v>323</v>
      </c>
      <c r="C764" s="141"/>
      <c r="D764" s="141"/>
      <c r="E764" s="176">
        <f>E765+E766</f>
        <v>22110209.599999998</v>
      </c>
      <c r="F764" s="176">
        <f>F765+F766</f>
        <v>25523078.572000001</v>
      </c>
      <c r="G764" s="161">
        <f t="shared" si="37"/>
        <v>115.43571514582116</v>
      </c>
      <c r="H764" s="142"/>
      <c r="I764" s="143"/>
      <c r="J764" s="143"/>
      <c r="K764" s="143"/>
    </row>
    <row r="765" spans="1:11" s="155" customFormat="1" ht="19.5" x14ac:dyDescent="0.25">
      <c r="A765" s="189"/>
      <c r="B765" s="151" t="s">
        <v>13</v>
      </c>
      <c r="C765" s="190"/>
      <c r="D765" s="190"/>
      <c r="E765" s="174">
        <f>E673+E675+E677+E679</f>
        <v>3907142</v>
      </c>
      <c r="F765" s="174">
        <f>F673+F675+F677+F679</f>
        <v>3683063.5500000003</v>
      </c>
      <c r="G765" s="153">
        <f t="shared" si="37"/>
        <v>94.264901301258064</v>
      </c>
      <c r="H765" s="192"/>
      <c r="I765" s="191"/>
      <c r="J765" s="191"/>
      <c r="K765" s="191"/>
    </row>
    <row r="766" spans="1:11" s="155" customFormat="1" ht="19.5" x14ac:dyDescent="0.25">
      <c r="A766" s="189"/>
      <c r="B766" s="151" t="s">
        <v>22</v>
      </c>
      <c r="C766" s="190"/>
      <c r="D766" s="190"/>
      <c r="E766" s="174">
        <f>E690+E699+E708+E717+E723+E726+E731+E740+E749+E753+E757</f>
        <v>18203067.599999998</v>
      </c>
      <c r="F766" s="174">
        <f>F690+F699+F708+F717+F723+F726+F731+F740+F749+F753+F757</f>
        <v>21840015.022</v>
      </c>
      <c r="G766" s="153">
        <f t="shared" si="37"/>
        <v>119.97985999898174</v>
      </c>
      <c r="H766" s="192"/>
      <c r="I766" s="191"/>
      <c r="J766" s="191"/>
      <c r="K766" s="191"/>
    </row>
    <row r="767" spans="1:11" ht="19.5" x14ac:dyDescent="0.25">
      <c r="A767" s="139"/>
      <c r="B767" s="151"/>
      <c r="C767" s="141"/>
      <c r="D767" s="141"/>
      <c r="E767" s="257"/>
      <c r="F767" s="257"/>
      <c r="G767" s="153"/>
      <c r="H767" s="142"/>
      <c r="I767" s="143"/>
      <c r="J767" s="143"/>
      <c r="K767" s="143"/>
    </row>
    <row r="768" spans="1:11" ht="19.5" x14ac:dyDescent="0.25">
      <c r="A768" s="139"/>
      <c r="B768" s="165" t="s">
        <v>263</v>
      </c>
      <c r="C768" s="141"/>
      <c r="D768" s="141"/>
      <c r="E768" s="176">
        <f>E769+E772+E773+E774</f>
        <v>116320978.59999999</v>
      </c>
      <c r="F768" s="176">
        <f>F769+F772+F773+F774</f>
        <v>158267535.37200001</v>
      </c>
      <c r="G768" s="161">
        <f t="shared" ref="G768:G774" si="38">F768/E768*100</f>
        <v>136.06104184890344</v>
      </c>
      <c r="H768" s="142"/>
      <c r="I768" s="258"/>
      <c r="J768" s="258"/>
      <c r="K768" s="256"/>
    </row>
    <row r="769" spans="1:11" s="155" customFormat="1" ht="19.5" x14ac:dyDescent="0.25">
      <c r="A769" s="189"/>
      <c r="B769" s="166" t="s">
        <v>13</v>
      </c>
      <c r="C769" s="190"/>
      <c r="D769" s="190"/>
      <c r="E769" s="174">
        <f>E76+E145+E186+E508+E666+E765</f>
        <v>33641647</v>
      </c>
      <c r="F769" s="174">
        <f>F76+F145+F186+F508+F666+F765</f>
        <v>33255888.560000002</v>
      </c>
      <c r="G769" s="153">
        <f t="shared" si="38"/>
        <v>98.853330694540617</v>
      </c>
      <c r="H769" s="192"/>
      <c r="I769" s="258"/>
      <c r="J769" s="191"/>
      <c r="K769" s="191"/>
    </row>
    <row r="770" spans="1:11" s="155" customFormat="1" ht="19.5" x14ac:dyDescent="0.25">
      <c r="A770" s="189"/>
      <c r="B770" s="151" t="s">
        <v>438</v>
      </c>
      <c r="C770" s="190"/>
      <c r="D770" s="190"/>
      <c r="E770" s="174"/>
      <c r="F770" s="174"/>
      <c r="G770" s="153"/>
      <c r="H770" s="192"/>
      <c r="I770" s="258"/>
      <c r="J770" s="191"/>
      <c r="K770" s="191"/>
    </row>
    <row r="771" spans="1:11" s="155" customFormat="1" ht="63" x14ac:dyDescent="0.25">
      <c r="A771" s="189"/>
      <c r="B771" s="151" t="s">
        <v>439</v>
      </c>
      <c r="C771" s="190"/>
      <c r="D771" s="190"/>
      <c r="E771" s="174">
        <f>E78</f>
        <v>373174</v>
      </c>
      <c r="F771" s="174">
        <f>F78</f>
        <v>373174</v>
      </c>
      <c r="G771" s="153">
        <f t="shared" si="38"/>
        <v>100</v>
      </c>
      <c r="H771" s="192"/>
      <c r="I771" s="258"/>
      <c r="J771" s="191"/>
      <c r="K771" s="191"/>
    </row>
    <row r="772" spans="1:11" s="155" customFormat="1" ht="19.5" x14ac:dyDescent="0.25">
      <c r="A772" s="189"/>
      <c r="B772" s="166" t="s">
        <v>22</v>
      </c>
      <c r="C772" s="190"/>
      <c r="D772" s="190"/>
      <c r="E772" s="174">
        <f>E766+E509+E187</f>
        <v>19082938.599999998</v>
      </c>
      <c r="F772" s="174">
        <f>F766+F509+F187</f>
        <v>22699178.281999998</v>
      </c>
      <c r="G772" s="153">
        <f t="shared" si="38"/>
        <v>118.95011956911081</v>
      </c>
      <c r="H772" s="192"/>
      <c r="I772" s="258"/>
      <c r="J772" s="191"/>
      <c r="K772" s="191"/>
    </row>
    <row r="773" spans="1:11" s="155" customFormat="1" ht="19.5" x14ac:dyDescent="0.25">
      <c r="A773" s="189"/>
      <c r="B773" s="166" t="s">
        <v>144</v>
      </c>
      <c r="C773" s="190"/>
      <c r="D773" s="190"/>
      <c r="E773" s="174">
        <f>E79+E146+E510+E667</f>
        <v>63562393</v>
      </c>
      <c r="F773" s="174">
        <f>F79+F146+F188+F510+F667</f>
        <v>102278468.53</v>
      </c>
      <c r="G773" s="153">
        <f t="shared" si="38"/>
        <v>160.910349190283</v>
      </c>
      <c r="H773" s="192"/>
      <c r="I773" s="258"/>
      <c r="J773" s="191"/>
      <c r="K773" s="191"/>
    </row>
    <row r="774" spans="1:11" s="155" customFormat="1" ht="33" x14ac:dyDescent="0.25">
      <c r="A774" s="189"/>
      <c r="B774" s="166" t="s">
        <v>139</v>
      </c>
      <c r="C774" s="190"/>
      <c r="D774" s="190"/>
      <c r="E774" s="174">
        <f>E668</f>
        <v>34000</v>
      </c>
      <c r="F774" s="174">
        <f>F668</f>
        <v>34000</v>
      </c>
      <c r="G774" s="153">
        <f t="shared" si="38"/>
        <v>100</v>
      </c>
      <c r="H774" s="192"/>
      <c r="I774" s="191"/>
      <c r="J774" s="191"/>
      <c r="K774" s="191"/>
    </row>
    <row r="775" spans="1:11" ht="19.5" x14ac:dyDescent="0.25">
      <c r="A775" s="139"/>
      <c r="B775" s="151"/>
      <c r="C775" s="141"/>
      <c r="D775" s="141"/>
      <c r="E775" s="257"/>
      <c r="F775" s="257"/>
      <c r="G775" s="153"/>
      <c r="H775" s="142"/>
      <c r="I775" s="143"/>
      <c r="J775" s="143"/>
      <c r="K775" s="143"/>
    </row>
    <row r="776" spans="1:11" ht="19.5" x14ac:dyDescent="0.25">
      <c r="A776" s="139"/>
      <c r="B776" s="151"/>
      <c r="C776" s="141"/>
      <c r="D776" s="141"/>
      <c r="E776" s="257"/>
      <c r="G776" s="153"/>
      <c r="H776" s="142"/>
      <c r="I776" s="143"/>
      <c r="J776" s="143"/>
      <c r="K776" s="143"/>
    </row>
    <row r="777" spans="1:11" x14ac:dyDescent="0.25">
      <c r="A777" s="145"/>
      <c r="H777" s="259"/>
      <c r="I777" s="238"/>
      <c r="J777" s="238"/>
      <c r="K777" s="238"/>
    </row>
    <row r="778" spans="1:11" x14ac:dyDescent="0.25">
      <c r="A778" s="145"/>
      <c r="H778" s="259"/>
      <c r="I778" s="238"/>
      <c r="J778" s="238"/>
      <c r="K778" s="238"/>
    </row>
    <row r="779" spans="1:11" x14ac:dyDescent="0.25">
      <c r="A779" s="145"/>
      <c r="H779" s="259"/>
      <c r="I779" s="238"/>
      <c r="J779" s="238"/>
      <c r="K779" s="238"/>
    </row>
    <row r="780" spans="1:11" x14ac:dyDescent="0.25">
      <c r="A780" s="145"/>
      <c r="H780" s="259"/>
      <c r="I780" s="238"/>
      <c r="J780" s="238"/>
      <c r="K780" s="238"/>
    </row>
    <row r="781" spans="1:11" x14ac:dyDescent="0.25">
      <c r="A781" s="145"/>
      <c r="H781" s="259"/>
      <c r="I781" s="238"/>
      <c r="J781" s="238"/>
      <c r="K781" s="238"/>
    </row>
    <row r="782" spans="1:11" x14ac:dyDescent="0.25">
      <c r="A782" s="145"/>
      <c r="H782" s="259"/>
      <c r="I782" s="260"/>
      <c r="J782" s="260"/>
      <c r="K782" s="260"/>
    </row>
    <row r="783" spans="1:11" x14ac:dyDescent="0.25">
      <c r="H783" s="259"/>
      <c r="I783" s="239"/>
      <c r="J783" s="239"/>
      <c r="K783" s="239"/>
    </row>
  </sheetData>
  <mergeCells count="49">
    <mergeCell ref="A645:K645"/>
    <mergeCell ref="A670:K670"/>
    <mergeCell ref="A671:K671"/>
    <mergeCell ref="A580:K580"/>
    <mergeCell ref="A585:K585"/>
    <mergeCell ref="A610:K610"/>
    <mergeCell ref="J625:J626"/>
    <mergeCell ref="A629:K629"/>
    <mergeCell ref="A634:K634"/>
    <mergeCell ref="A575:K575"/>
    <mergeCell ref="A176:K176"/>
    <mergeCell ref="A181:K181"/>
    <mergeCell ref="B189:K189"/>
    <mergeCell ref="A190:K190"/>
    <mergeCell ref="A341:K341"/>
    <mergeCell ref="A512:K512"/>
    <mergeCell ref="A513:K513"/>
    <mergeCell ref="B526:K526"/>
    <mergeCell ref="A541:K541"/>
    <mergeCell ref="A551:K551"/>
    <mergeCell ref="A562:K562"/>
    <mergeCell ref="A171:K171"/>
    <mergeCell ref="A87:K87"/>
    <mergeCell ref="A92:K92"/>
    <mergeCell ref="A97:K97"/>
    <mergeCell ref="A102:K102"/>
    <mergeCell ref="A111:K111"/>
    <mergeCell ref="A130:K130"/>
    <mergeCell ref="A137:K137"/>
    <mergeCell ref="A148:K148"/>
    <mergeCell ref="A149:K149"/>
    <mergeCell ref="A154:K154"/>
    <mergeCell ref="A161:K161"/>
    <mergeCell ref="A82:K82"/>
    <mergeCell ref="J2:K2"/>
    <mergeCell ref="A3:K3"/>
    <mergeCell ref="A5:A6"/>
    <mergeCell ref="B5:B6"/>
    <mergeCell ref="C5:C6"/>
    <mergeCell ref="D5:D6"/>
    <mergeCell ref="E5:G5"/>
    <mergeCell ref="H5:H6"/>
    <mergeCell ref="I5:I6"/>
    <mergeCell ref="J5:J6"/>
    <mergeCell ref="K5:K6"/>
    <mergeCell ref="A7:K7"/>
    <mergeCell ref="A8:K8"/>
    <mergeCell ref="A39:K39"/>
    <mergeCell ref="A81:K8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6"/>
  <sheetViews>
    <sheetView defaultGridColor="0" topLeftCell="A651" colorId="8" zoomScale="120" zoomScaleNormal="120" workbookViewId="0">
      <selection activeCell="B628" sqref="B628"/>
    </sheetView>
  </sheetViews>
  <sheetFormatPr defaultRowHeight="15" x14ac:dyDescent="0.25"/>
  <cols>
    <col min="1" max="1" width="7" style="383" customWidth="1"/>
    <col min="2" max="2" width="46.85546875" style="441" customWidth="1"/>
    <col min="3" max="3" width="22.140625" style="382" customWidth="1"/>
    <col min="4" max="4" width="12.85546875" style="382" customWidth="1"/>
    <col min="5" max="5" width="15.85546875" style="382" customWidth="1"/>
    <col min="6" max="6" width="16.140625" style="382" customWidth="1"/>
    <col min="7" max="7" width="11.28515625" style="382" customWidth="1"/>
    <col min="8" max="10" width="16.7109375" style="443" customWidth="1"/>
    <col min="11" max="11" width="13.28515625" style="443" customWidth="1"/>
    <col min="12" max="12" width="16.7109375" style="443" customWidth="1"/>
    <col min="13" max="13" width="25" style="466" customWidth="1"/>
    <col min="14" max="14" width="24.28515625" style="133" customWidth="1"/>
    <col min="15" max="16384" width="9.140625" style="133"/>
  </cols>
  <sheetData>
    <row r="1" spans="1:13" x14ac:dyDescent="0.25">
      <c r="A1" s="519"/>
      <c r="B1" s="520"/>
      <c r="C1" s="521"/>
      <c r="D1" s="521"/>
      <c r="E1" s="521"/>
      <c r="F1" s="521"/>
      <c r="G1" s="521"/>
      <c r="H1" s="522"/>
      <c r="I1" s="522"/>
      <c r="J1" s="522"/>
      <c r="K1" s="522"/>
      <c r="L1" s="560" t="s">
        <v>683</v>
      </c>
      <c r="M1" s="560"/>
    </row>
    <row r="2" spans="1:13" x14ac:dyDescent="0.25">
      <c r="A2" s="519"/>
      <c r="B2" s="520"/>
      <c r="C2" s="521"/>
      <c r="D2" s="521"/>
      <c r="E2" s="521"/>
      <c r="F2" s="521"/>
      <c r="G2" s="521"/>
      <c r="H2" s="522"/>
      <c r="I2" s="522"/>
      <c r="J2" s="522"/>
      <c r="K2" s="522"/>
      <c r="L2" s="560" t="s">
        <v>0</v>
      </c>
      <c r="M2" s="560"/>
    </row>
    <row r="3" spans="1:13" ht="15" customHeight="1" x14ac:dyDescent="0.25">
      <c r="A3" s="519"/>
      <c r="B3" s="523"/>
      <c r="C3" s="521"/>
      <c r="D3" s="521"/>
      <c r="E3" s="521"/>
      <c r="F3" s="519"/>
      <c r="G3" s="519"/>
      <c r="H3" s="524"/>
      <c r="I3" s="524"/>
      <c r="J3" s="524"/>
      <c r="K3" s="524"/>
      <c r="L3" s="524"/>
      <c r="M3" s="525"/>
    </row>
    <row r="4" spans="1:13" x14ac:dyDescent="0.25">
      <c r="A4" s="569" t="s">
        <v>10</v>
      </c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</row>
    <row r="5" spans="1:13" x14ac:dyDescent="0.25">
      <c r="A5" s="492"/>
      <c r="B5" s="384"/>
      <c r="C5" s="262"/>
      <c r="D5" s="262"/>
      <c r="E5" s="262"/>
      <c r="F5" s="262"/>
      <c r="G5" s="262"/>
      <c r="H5" s="261"/>
      <c r="I5" s="261"/>
      <c r="J5" s="261"/>
      <c r="K5" s="261"/>
      <c r="L5" s="261"/>
      <c r="M5" s="444"/>
    </row>
    <row r="6" spans="1:13" ht="30" customHeight="1" x14ac:dyDescent="0.25">
      <c r="A6" s="564" t="s">
        <v>2</v>
      </c>
      <c r="B6" s="564" t="s">
        <v>1</v>
      </c>
      <c r="C6" s="564" t="s">
        <v>3</v>
      </c>
      <c r="D6" s="564" t="s">
        <v>4</v>
      </c>
      <c r="E6" s="564" t="s">
        <v>517</v>
      </c>
      <c r="F6" s="564"/>
      <c r="G6" s="564"/>
      <c r="H6" s="570" t="s">
        <v>8</v>
      </c>
      <c r="I6" s="564" t="s">
        <v>518</v>
      </c>
      <c r="J6" s="564"/>
      <c r="K6" s="564"/>
      <c r="L6" s="570" t="s">
        <v>8</v>
      </c>
      <c r="M6" s="564" t="s">
        <v>9</v>
      </c>
    </row>
    <row r="7" spans="1:13" ht="30" x14ac:dyDescent="0.25">
      <c r="A7" s="564"/>
      <c r="B7" s="564"/>
      <c r="C7" s="564"/>
      <c r="D7" s="564"/>
      <c r="E7" s="262" t="s">
        <v>5</v>
      </c>
      <c r="F7" s="262" t="s">
        <v>6</v>
      </c>
      <c r="G7" s="262" t="s">
        <v>7</v>
      </c>
      <c r="H7" s="570"/>
      <c r="I7" s="262" t="s">
        <v>5</v>
      </c>
      <c r="J7" s="262" t="s">
        <v>6</v>
      </c>
      <c r="K7" s="262" t="s">
        <v>7</v>
      </c>
      <c r="L7" s="570"/>
      <c r="M7" s="564"/>
    </row>
    <row r="8" spans="1:13" x14ac:dyDescent="0.25">
      <c r="A8" s="565" t="s">
        <v>303</v>
      </c>
      <c r="B8" s="565"/>
      <c r="C8" s="565"/>
      <c r="D8" s="565"/>
      <c r="E8" s="565"/>
      <c r="F8" s="565"/>
      <c r="G8" s="565"/>
      <c r="H8" s="565"/>
      <c r="I8" s="565"/>
      <c r="J8" s="565"/>
      <c r="K8" s="565"/>
      <c r="L8" s="565"/>
      <c r="M8" s="565"/>
    </row>
    <row r="9" spans="1:13" x14ac:dyDescent="0.25">
      <c r="A9" s="564" t="s">
        <v>11</v>
      </c>
      <c r="B9" s="564"/>
      <c r="C9" s="564"/>
      <c r="D9" s="564"/>
      <c r="E9" s="564"/>
      <c r="F9" s="564"/>
      <c r="G9" s="564"/>
      <c r="H9" s="564"/>
      <c r="I9" s="564"/>
      <c r="J9" s="564"/>
      <c r="K9" s="564"/>
      <c r="L9" s="564"/>
      <c r="M9" s="564"/>
    </row>
    <row r="10" spans="1:13" ht="45" x14ac:dyDescent="0.25">
      <c r="A10" s="492">
        <v>1</v>
      </c>
      <c r="B10" s="384" t="s">
        <v>270</v>
      </c>
      <c r="C10" s="262" t="s">
        <v>432</v>
      </c>
      <c r="D10" s="262" t="s">
        <v>16</v>
      </c>
      <c r="E10" s="385">
        <f>E11+E12</f>
        <v>90411434.450000003</v>
      </c>
      <c r="F10" s="385">
        <f>F11+F12</f>
        <v>56656601</v>
      </c>
      <c r="G10" s="386">
        <f t="shared" ref="G10:G28" si="0">F10/E10*100</f>
        <v>62.66530483080949</v>
      </c>
      <c r="H10" s="261">
        <v>100</v>
      </c>
      <c r="I10" s="385">
        <f>I11+I12</f>
        <v>176677130.34999999</v>
      </c>
      <c r="J10" s="385">
        <f>J11+J12</f>
        <v>142823840.68000001</v>
      </c>
      <c r="K10" s="386">
        <f t="shared" ref="K10:K38" si="1">J10/I10*100</f>
        <v>80.83889544564363</v>
      </c>
      <c r="L10" s="261">
        <v>100</v>
      </c>
      <c r="M10" s="445"/>
    </row>
    <row r="11" spans="1:13" s="155" customFormat="1" x14ac:dyDescent="0.25">
      <c r="A11" s="492"/>
      <c r="B11" s="387" t="s">
        <v>13</v>
      </c>
      <c r="C11" s="388"/>
      <c r="D11" s="388"/>
      <c r="E11" s="389">
        <v>5950601</v>
      </c>
      <c r="F11" s="389">
        <v>5950601</v>
      </c>
      <c r="G11" s="390">
        <f t="shared" si="0"/>
        <v>100</v>
      </c>
      <c r="H11" s="391"/>
      <c r="I11" s="389">
        <f>E11+'2016'!E10+'2017'!E10+'2018'!E10</f>
        <v>22765601.899999999</v>
      </c>
      <c r="J11" s="389">
        <f>F11+'2016'!F10+'2017'!F10+'2018'!F10</f>
        <v>20509374.48</v>
      </c>
      <c r="K11" s="390">
        <f t="shared" si="1"/>
        <v>90.089313562142195</v>
      </c>
      <c r="L11" s="391"/>
      <c r="M11" s="388"/>
    </row>
    <row r="12" spans="1:13" s="155" customFormat="1" x14ac:dyDescent="0.25">
      <c r="A12" s="492"/>
      <c r="B12" s="392" t="s">
        <v>582</v>
      </c>
      <c r="C12" s="388"/>
      <c r="D12" s="388"/>
      <c r="E12" s="389">
        <v>84460833.450000003</v>
      </c>
      <c r="F12" s="389">
        <v>50706000</v>
      </c>
      <c r="G12" s="390">
        <f t="shared" si="0"/>
        <v>60.034927348920206</v>
      </c>
      <c r="H12" s="391"/>
      <c r="I12" s="389">
        <f>E12+'2016'!E11+'2017'!E11+'2018'!E11</f>
        <v>153911528.44999999</v>
      </c>
      <c r="J12" s="389">
        <f>F12+'2016'!F11+'2017'!F11+'2018'!F11</f>
        <v>122314466.2</v>
      </c>
      <c r="K12" s="390">
        <f t="shared" si="1"/>
        <v>79.470633182448921</v>
      </c>
      <c r="L12" s="391"/>
      <c r="M12" s="388"/>
    </row>
    <row r="13" spans="1:13" x14ac:dyDescent="0.25">
      <c r="A13" s="492"/>
      <c r="B13" s="393" t="s">
        <v>155</v>
      </c>
      <c r="C13" s="388"/>
      <c r="D13" s="388"/>
      <c r="E13" s="385"/>
      <c r="F13" s="385"/>
      <c r="G13" s="386"/>
      <c r="H13" s="391"/>
      <c r="I13" s="391"/>
      <c r="J13" s="391"/>
      <c r="K13" s="391"/>
      <c r="L13" s="391"/>
      <c r="M13" s="388"/>
    </row>
    <row r="14" spans="1:13" ht="60" x14ac:dyDescent="0.25">
      <c r="A14" s="492"/>
      <c r="B14" s="384" t="s">
        <v>279</v>
      </c>
      <c r="C14" s="262" t="s">
        <v>143</v>
      </c>
      <c r="D14" s="262" t="s">
        <v>280</v>
      </c>
      <c r="E14" s="385">
        <v>55000</v>
      </c>
      <c r="F14" s="385">
        <f>F15</f>
        <v>55000</v>
      </c>
      <c r="G14" s="386">
        <f t="shared" si="0"/>
        <v>100</v>
      </c>
      <c r="H14" s="261">
        <v>100</v>
      </c>
      <c r="I14" s="385">
        <f>I15</f>
        <v>153602.74</v>
      </c>
      <c r="J14" s="385">
        <f>J15</f>
        <v>137313.35</v>
      </c>
      <c r="K14" s="386">
        <f t="shared" si="1"/>
        <v>89.395117561053937</v>
      </c>
      <c r="L14" s="261"/>
      <c r="M14" s="388"/>
    </row>
    <row r="15" spans="1:13" s="155" customFormat="1" x14ac:dyDescent="0.25">
      <c r="A15" s="492"/>
      <c r="B15" s="387" t="s">
        <v>13</v>
      </c>
      <c r="C15" s="388"/>
      <c r="D15" s="388"/>
      <c r="E15" s="389">
        <v>55000</v>
      </c>
      <c r="F15" s="389">
        <v>55000</v>
      </c>
      <c r="G15" s="390">
        <f t="shared" si="0"/>
        <v>100</v>
      </c>
      <c r="H15" s="391"/>
      <c r="I15" s="389">
        <f>E15+'2017'!E14+'2018'!E14</f>
        <v>153602.74</v>
      </c>
      <c r="J15" s="389">
        <f>F15+'2017'!F14+'2018'!F14</f>
        <v>137313.35</v>
      </c>
      <c r="K15" s="390">
        <f t="shared" si="1"/>
        <v>89.395117561053937</v>
      </c>
      <c r="L15" s="391"/>
      <c r="M15" s="388"/>
    </row>
    <row r="16" spans="1:13" ht="105" x14ac:dyDescent="0.25">
      <c r="A16" s="492"/>
      <c r="B16" s="384" t="s">
        <v>281</v>
      </c>
      <c r="C16" s="262" t="s">
        <v>143</v>
      </c>
      <c r="D16" s="262" t="s">
        <v>280</v>
      </c>
      <c r="E16" s="385">
        <f>E17+E18</f>
        <v>200013.45</v>
      </c>
      <c r="F16" s="385">
        <f>F17+F18</f>
        <v>200013.45</v>
      </c>
      <c r="G16" s="386">
        <f t="shared" si="0"/>
        <v>100</v>
      </c>
      <c r="H16" s="261">
        <v>100</v>
      </c>
      <c r="I16" s="385">
        <f>I17+I18</f>
        <v>581011.44999999995</v>
      </c>
      <c r="J16" s="385">
        <f>J17+J18</f>
        <v>581071.44999999995</v>
      </c>
      <c r="K16" s="386">
        <f t="shared" si="1"/>
        <v>100.01032681886046</v>
      </c>
      <c r="L16" s="261"/>
      <c r="M16" s="388"/>
    </row>
    <row r="17" spans="1:13" s="155" customFormat="1" x14ac:dyDescent="0.25">
      <c r="A17" s="492"/>
      <c r="B17" s="387" t="s">
        <v>13</v>
      </c>
      <c r="C17" s="388"/>
      <c r="D17" s="388"/>
      <c r="E17" s="389">
        <v>139180</v>
      </c>
      <c r="F17" s="389">
        <v>139180</v>
      </c>
      <c r="G17" s="390">
        <f t="shared" si="0"/>
        <v>100</v>
      </c>
      <c r="H17" s="391"/>
      <c r="I17" s="389">
        <f>E17+'2017'!E16+'2018'!E16</f>
        <v>389094</v>
      </c>
      <c r="J17" s="389">
        <f>F17+'2017'!F16+'2018'!F16</f>
        <v>389094</v>
      </c>
      <c r="K17" s="390">
        <f t="shared" si="1"/>
        <v>100</v>
      </c>
      <c r="L17" s="391"/>
      <c r="M17" s="388"/>
    </row>
    <row r="18" spans="1:13" s="155" customFormat="1" x14ac:dyDescent="0.25">
      <c r="A18" s="492"/>
      <c r="B18" s="392" t="s">
        <v>582</v>
      </c>
      <c r="C18" s="388"/>
      <c r="D18" s="388"/>
      <c r="E18" s="389">
        <v>60833.45</v>
      </c>
      <c r="F18" s="389">
        <v>60833.45</v>
      </c>
      <c r="G18" s="390">
        <f t="shared" si="0"/>
        <v>100</v>
      </c>
      <c r="H18" s="391"/>
      <c r="I18" s="389">
        <f>E18+'2017'!E17+'2018'!E17</f>
        <v>191917.45</v>
      </c>
      <c r="J18" s="389">
        <f>F18+'2017'!F17+'2018'!F17</f>
        <v>191977.45</v>
      </c>
      <c r="K18" s="390">
        <f t="shared" si="1"/>
        <v>100.0312634416516</v>
      </c>
      <c r="L18" s="391"/>
      <c r="M18" s="388"/>
    </row>
    <row r="19" spans="1:13" ht="105" x14ac:dyDescent="0.25">
      <c r="A19" s="492">
        <v>2</v>
      </c>
      <c r="B19" s="384" t="s">
        <v>269</v>
      </c>
      <c r="C19" s="262" t="s">
        <v>141</v>
      </c>
      <c r="D19" s="262" t="s">
        <v>16</v>
      </c>
      <c r="E19" s="385">
        <f>E20+E21</f>
        <v>2231680</v>
      </c>
      <c r="F19" s="385">
        <f>F20+F21</f>
        <v>3480482.7</v>
      </c>
      <c r="G19" s="386">
        <f t="shared" si="0"/>
        <v>155.95796440349872</v>
      </c>
      <c r="H19" s="261">
        <v>100</v>
      </c>
      <c r="I19" s="385">
        <f>I20+I21</f>
        <v>8571410</v>
      </c>
      <c r="J19" s="385">
        <f>J20+J21</f>
        <v>6909127.8200000003</v>
      </c>
      <c r="K19" s="386">
        <f t="shared" si="1"/>
        <v>80.606665881109407</v>
      </c>
      <c r="L19" s="261">
        <v>100</v>
      </c>
      <c r="M19" s="384"/>
    </row>
    <row r="20" spans="1:13" s="155" customFormat="1" x14ac:dyDescent="0.25">
      <c r="A20" s="492"/>
      <c r="B20" s="387" t="s">
        <v>13</v>
      </c>
      <c r="C20" s="388"/>
      <c r="D20" s="388"/>
      <c r="E20" s="389">
        <v>1111680</v>
      </c>
      <c r="F20" s="389">
        <v>1111680</v>
      </c>
      <c r="G20" s="390">
        <f t="shared" si="0"/>
        <v>100</v>
      </c>
      <c r="H20" s="391"/>
      <c r="I20" s="389">
        <f>E20+'2016'!E13+'2017'!E19+'2018'!E19</f>
        <v>2662810</v>
      </c>
      <c r="J20" s="389">
        <f>F20+'2016'!F13+'2017'!F19+'2018'!F19</f>
        <v>2451619.27</v>
      </c>
      <c r="K20" s="390">
        <f t="shared" si="1"/>
        <v>92.068877238706477</v>
      </c>
      <c r="L20" s="391"/>
      <c r="M20" s="388"/>
    </row>
    <row r="21" spans="1:13" s="155" customFormat="1" x14ac:dyDescent="0.25">
      <c r="A21" s="492"/>
      <c r="B21" s="392" t="s">
        <v>19</v>
      </c>
      <c r="C21" s="388"/>
      <c r="D21" s="388"/>
      <c r="E21" s="389">
        <v>1120000</v>
      </c>
      <c r="F21" s="389">
        <v>2368802.7000000002</v>
      </c>
      <c r="G21" s="390">
        <f t="shared" si="0"/>
        <v>211.50024107142858</v>
      </c>
      <c r="H21" s="391"/>
      <c r="I21" s="389">
        <f>E21+'2016'!E14+'2017'!E20+'2018'!E20</f>
        <v>5908600</v>
      </c>
      <c r="J21" s="389">
        <f>F21+'2016'!F14+'2017'!F20+'2018'!F20</f>
        <v>4457508.55</v>
      </c>
      <c r="K21" s="390">
        <f t="shared" si="1"/>
        <v>75.441027485360323</v>
      </c>
      <c r="L21" s="391"/>
      <c r="M21" s="388"/>
    </row>
    <row r="22" spans="1:13" s="155" customFormat="1" x14ac:dyDescent="0.25">
      <c r="A22" s="492"/>
      <c r="B22" s="393" t="s">
        <v>155</v>
      </c>
      <c r="C22" s="388"/>
      <c r="D22" s="388"/>
      <c r="E22" s="389"/>
      <c r="F22" s="389"/>
      <c r="G22" s="390"/>
      <c r="H22" s="391"/>
      <c r="I22" s="391"/>
      <c r="J22" s="391"/>
      <c r="K22" s="391"/>
      <c r="L22" s="391"/>
      <c r="M22" s="388"/>
    </row>
    <row r="23" spans="1:13" s="155" customFormat="1" ht="75" x14ac:dyDescent="0.25">
      <c r="A23" s="492"/>
      <c r="B23" s="384" t="s">
        <v>434</v>
      </c>
      <c r="C23" s="262" t="s">
        <v>143</v>
      </c>
      <c r="D23" s="262">
        <v>2018</v>
      </c>
      <c r="E23" s="385"/>
      <c r="F23" s="385"/>
      <c r="G23" s="386"/>
      <c r="H23" s="261"/>
      <c r="I23" s="385">
        <f>I24+I25</f>
        <v>130500</v>
      </c>
      <c r="J23" s="385">
        <f>J24+J25</f>
        <v>130500</v>
      </c>
      <c r="K23" s="386">
        <f t="shared" si="1"/>
        <v>100</v>
      </c>
      <c r="L23" s="261"/>
      <c r="M23" s="388"/>
    </row>
    <row r="24" spans="1:13" s="155" customFormat="1" x14ac:dyDescent="0.25">
      <c r="A24" s="492"/>
      <c r="B24" s="387" t="s">
        <v>13</v>
      </c>
      <c r="C24" s="388"/>
      <c r="D24" s="388"/>
      <c r="E24" s="389"/>
      <c r="F24" s="389"/>
      <c r="G24" s="390"/>
      <c r="H24" s="391"/>
      <c r="I24" s="389">
        <f>'2018'!E23</f>
        <v>90000</v>
      </c>
      <c r="J24" s="389">
        <f>'2018'!F23</f>
        <v>90000</v>
      </c>
      <c r="K24" s="390">
        <f t="shared" si="1"/>
        <v>100</v>
      </c>
      <c r="L24" s="391"/>
      <c r="M24" s="388"/>
    </row>
    <row r="25" spans="1:13" s="155" customFormat="1" x14ac:dyDescent="0.25">
      <c r="A25" s="492"/>
      <c r="B25" s="392" t="s">
        <v>19</v>
      </c>
      <c r="C25" s="388"/>
      <c r="D25" s="388"/>
      <c r="E25" s="389"/>
      <c r="F25" s="389"/>
      <c r="G25" s="390"/>
      <c r="H25" s="391"/>
      <c r="I25" s="389">
        <f>'2018'!E24</f>
        <v>40500</v>
      </c>
      <c r="J25" s="389">
        <f>'2018'!F24</f>
        <v>40500</v>
      </c>
      <c r="K25" s="390">
        <f t="shared" si="1"/>
        <v>100</v>
      </c>
      <c r="L25" s="391"/>
      <c r="M25" s="388"/>
    </row>
    <row r="26" spans="1:13" ht="60" x14ac:dyDescent="0.25">
      <c r="A26" s="492">
        <v>3</v>
      </c>
      <c r="B26" s="384" t="s">
        <v>268</v>
      </c>
      <c r="C26" s="262" t="s">
        <v>140</v>
      </c>
      <c r="D26" s="262" t="s">
        <v>16</v>
      </c>
      <c r="E26" s="385">
        <f>E27+E28</f>
        <v>1210000</v>
      </c>
      <c r="F26" s="385">
        <f>F27+F28</f>
        <v>553728.65</v>
      </c>
      <c r="G26" s="386">
        <f t="shared" si="0"/>
        <v>45.762698347107438</v>
      </c>
      <c r="H26" s="261">
        <v>100</v>
      </c>
      <c r="I26" s="385">
        <f>I27+I28</f>
        <v>6964295</v>
      </c>
      <c r="J26" s="385">
        <f>J27+J28</f>
        <v>3296669.2199999997</v>
      </c>
      <c r="K26" s="386">
        <f t="shared" si="1"/>
        <v>47.336725684365746</v>
      </c>
      <c r="L26" s="261">
        <v>100</v>
      </c>
      <c r="M26" s="388"/>
    </row>
    <row r="27" spans="1:13" s="155" customFormat="1" x14ac:dyDescent="0.25">
      <c r="A27" s="492"/>
      <c r="B27" s="387" t="s">
        <v>13</v>
      </c>
      <c r="C27" s="388"/>
      <c r="D27" s="388"/>
      <c r="E27" s="389"/>
      <c r="F27" s="389"/>
      <c r="G27" s="390"/>
      <c r="H27" s="391"/>
      <c r="I27" s="389">
        <f>E27+'2016'!E16+'2017'!E22+'2018'!E26</f>
        <v>1077495</v>
      </c>
      <c r="J27" s="389">
        <f>F27+'2016'!F16+'2017'!F22+'2018'!F26</f>
        <v>1042020</v>
      </c>
      <c r="K27" s="390">
        <f t="shared" si="1"/>
        <v>96.70764133476257</v>
      </c>
      <c r="L27" s="391"/>
      <c r="M27" s="388"/>
    </row>
    <row r="28" spans="1:13" s="155" customFormat="1" x14ac:dyDescent="0.25">
      <c r="A28" s="492"/>
      <c r="B28" s="392" t="s">
        <v>19</v>
      </c>
      <c r="C28" s="388"/>
      <c r="D28" s="388"/>
      <c r="E28" s="389">
        <v>1210000</v>
      </c>
      <c r="F28" s="389">
        <v>553728.65</v>
      </c>
      <c r="G28" s="390">
        <f t="shared" si="0"/>
        <v>45.762698347107438</v>
      </c>
      <c r="H28" s="391"/>
      <c r="I28" s="389">
        <f>E28+'2016'!E17+'2017'!E23+'2018'!E27</f>
        <v>5886800</v>
      </c>
      <c r="J28" s="389">
        <f>F28+'2016'!F17+'2017'!F23+'2018'!F27</f>
        <v>2254649.2199999997</v>
      </c>
      <c r="K28" s="390">
        <f t="shared" si="1"/>
        <v>38.300081878100151</v>
      </c>
      <c r="L28" s="391"/>
      <c r="M28" s="388"/>
    </row>
    <row r="29" spans="1:13" x14ac:dyDescent="0.25">
      <c r="A29" s="492"/>
      <c r="B29" s="393" t="s">
        <v>155</v>
      </c>
      <c r="C29" s="388"/>
      <c r="D29" s="388"/>
      <c r="E29" s="386"/>
      <c r="F29" s="386"/>
      <c r="G29" s="386"/>
      <c r="H29" s="391"/>
      <c r="I29" s="391"/>
      <c r="J29" s="391"/>
      <c r="K29" s="391"/>
      <c r="L29" s="391"/>
      <c r="M29" s="388"/>
    </row>
    <row r="30" spans="1:13" ht="30" x14ac:dyDescent="0.25">
      <c r="A30" s="492"/>
      <c r="B30" s="384" t="s">
        <v>282</v>
      </c>
      <c r="C30" s="262" t="s">
        <v>143</v>
      </c>
      <c r="D30" s="262" t="s">
        <v>290</v>
      </c>
      <c r="E30" s="385"/>
      <c r="F30" s="385"/>
      <c r="G30" s="386"/>
      <c r="H30" s="261"/>
      <c r="I30" s="385">
        <f>I31</f>
        <v>652020</v>
      </c>
      <c r="J30" s="385">
        <f>J31</f>
        <v>652020</v>
      </c>
      <c r="K30" s="386">
        <f t="shared" si="1"/>
        <v>100</v>
      </c>
      <c r="L30" s="261"/>
      <c r="M30" s="388"/>
    </row>
    <row r="31" spans="1:13" s="155" customFormat="1" ht="23.25" customHeight="1" x14ac:dyDescent="0.25">
      <c r="A31" s="492"/>
      <c r="B31" s="387" t="s">
        <v>13</v>
      </c>
      <c r="C31" s="388"/>
      <c r="D31" s="388"/>
      <c r="E31" s="389"/>
      <c r="F31" s="389"/>
      <c r="G31" s="390"/>
      <c r="H31" s="391"/>
      <c r="I31" s="389">
        <f>'2017'!E26+'2018'!E30</f>
        <v>652020</v>
      </c>
      <c r="J31" s="389">
        <f>'2017'!F26+'2018'!F30</f>
        <v>652020</v>
      </c>
      <c r="K31" s="390">
        <f t="shared" si="1"/>
        <v>100</v>
      </c>
      <c r="L31" s="391"/>
      <c r="M31" s="388"/>
    </row>
    <row r="32" spans="1:13" s="155" customFormat="1" ht="122.25" customHeight="1" x14ac:dyDescent="0.25">
      <c r="A32" s="492"/>
      <c r="B32" s="384" t="s">
        <v>436</v>
      </c>
      <c r="C32" s="262" t="s">
        <v>143</v>
      </c>
      <c r="D32" s="262">
        <v>2018</v>
      </c>
      <c r="E32" s="385"/>
      <c r="F32" s="385"/>
      <c r="G32" s="386"/>
      <c r="H32" s="261"/>
      <c r="I32" s="385">
        <f>I33</f>
        <v>35475</v>
      </c>
      <c r="J32" s="385">
        <f>J33</f>
        <v>0</v>
      </c>
      <c r="K32" s="390">
        <f t="shared" si="1"/>
        <v>0</v>
      </c>
      <c r="L32" s="261"/>
      <c r="M32" s="387" t="s">
        <v>437</v>
      </c>
    </row>
    <row r="33" spans="1:13" s="155" customFormat="1" ht="24.75" customHeight="1" x14ac:dyDescent="0.25">
      <c r="A33" s="492"/>
      <c r="B33" s="387" t="s">
        <v>13</v>
      </c>
      <c r="C33" s="388"/>
      <c r="D33" s="388"/>
      <c r="E33" s="389"/>
      <c r="F33" s="389"/>
      <c r="G33" s="389"/>
      <c r="H33" s="391"/>
      <c r="I33" s="389">
        <f>'2018'!E32</f>
        <v>35475</v>
      </c>
      <c r="J33" s="389">
        <f>'2018'!F32</f>
        <v>0</v>
      </c>
      <c r="K33" s="390">
        <f t="shared" si="1"/>
        <v>0</v>
      </c>
      <c r="L33" s="391"/>
      <c r="M33" s="388"/>
    </row>
    <row r="34" spans="1:13" x14ac:dyDescent="0.25">
      <c r="A34" s="492"/>
      <c r="B34" s="394" t="s">
        <v>54</v>
      </c>
      <c r="C34" s="388"/>
      <c r="D34" s="388"/>
      <c r="E34" s="395">
        <f>E35+E38</f>
        <v>93853114.450000003</v>
      </c>
      <c r="F34" s="395">
        <f>F35+F38</f>
        <v>60690812.350000001</v>
      </c>
      <c r="G34" s="396">
        <f t="shared" ref="G34:G37" si="2">F34/E34*100</f>
        <v>64.665741468103192</v>
      </c>
      <c r="H34" s="391"/>
      <c r="I34" s="395">
        <f>I35+I38</f>
        <v>192212835.34999999</v>
      </c>
      <c r="J34" s="395">
        <f>J35+J38</f>
        <v>153029637.72</v>
      </c>
      <c r="K34" s="396">
        <f t="shared" si="1"/>
        <v>79.614682048339077</v>
      </c>
      <c r="L34" s="391"/>
      <c r="M34" s="388"/>
    </row>
    <row r="35" spans="1:13" s="155" customFormat="1" x14ac:dyDescent="0.25">
      <c r="A35" s="492"/>
      <c r="B35" s="387" t="s">
        <v>13</v>
      </c>
      <c r="C35" s="388"/>
      <c r="D35" s="388"/>
      <c r="E35" s="389">
        <f>E27+E20+E11</f>
        <v>7062281</v>
      </c>
      <c r="F35" s="389">
        <f>F27+F20+F11</f>
        <v>7062281</v>
      </c>
      <c r="G35" s="390">
        <f t="shared" si="2"/>
        <v>100</v>
      </c>
      <c r="H35" s="391"/>
      <c r="I35" s="389">
        <f>I27+I20+I11</f>
        <v>26505906.899999999</v>
      </c>
      <c r="J35" s="389">
        <f>J27+J20+J11</f>
        <v>24003013.75</v>
      </c>
      <c r="K35" s="390">
        <f t="shared" si="1"/>
        <v>90.557225001043079</v>
      </c>
      <c r="L35" s="391"/>
      <c r="M35" s="388"/>
    </row>
    <row r="36" spans="1:13" s="155" customFormat="1" x14ac:dyDescent="0.25">
      <c r="A36" s="492"/>
      <c r="B36" s="387" t="s">
        <v>438</v>
      </c>
      <c r="C36" s="388"/>
      <c r="D36" s="388"/>
      <c r="E36" s="389"/>
      <c r="F36" s="389"/>
      <c r="G36" s="390"/>
      <c r="H36" s="391"/>
      <c r="I36" s="391"/>
      <c r="J36" s="391"/>
      <c r="K36" s="390"/>
      <c r="L36" s="391"/>
      <c r="M36" s="388"/>
    </row>
    <row r="37" spans="1:13" s="155" customFormat="1" ht="32.25" customHeight="1" x14ac:dyDescent="0.25">
      <c r="A37" s="492"/>
      <c r="B37" s="387" t="s">
        <v>439</v>
      </c>
      <c r="C37" s="388"/>
      <c r="D37" s="388"/>
      <c r="E37" s="389">
        <f>E17+E24</f>
        <v>139180</v>
      </c>
      <c r="F37" s="389">
        <f>F17+F24</f>
        <v>139180</v>
      </c>
      <c r="G37" s="390">
        <f t="shared" si="2"/>
        <v>100</v>
      </c>
      <c r="H37" s="391"/>
      <c r="I37" s="389">
        <f>I17+I24</f>
        <v>479094</v>
      </c>
      <c r="J37" s="389">
        <f>J17+J24</f>
        <v>479094</v>
      </c>
      <c r="K37" s="390">
        <f t="shared" si="1"/>
        <v>100</v>
      </c>
      <c r="L37" s="391"/>
      <c r="M37" s="388"/>
    </row>
    <row r="38" spans="1:13" s="155" customFormat="1" x14ac:dyDescent="0.25">
      <c r="A38" s="492"/>
      <c r="B38" s="392" t="s">
        <v>19</v>
      </c>
      <c r="C38" s="388"/>
      <c r="D38" s="388"/>
      <c r="E38" s="389">
        <f>E28+E21+E12</f>
        <v>86790833.450000003</v>
      </c>
      <c r="F38" s="389">
        <f>F28+F21+F12</f>
        <v>53628531.350000001</v>
      </c>
      <c r="G38" s="390">
        <f>F38/E38*100</f>
        <v>61.790547709044965</v>
      </c>
      <c r="H38" s="391"/>
      <c r="I38" s="389">
        <f>I28+I21+I12</f>
        <v>165706928.44999999</v>
      </c>
      <c r="J38" s="389">
        <f>J28+J21+J12</f>
        <v>129026623.97</v>
      </c>
      <c r="K38" s="390">
        <f t="shared" si="1"/>
        <v>77.864350740730899</v>
      </c>
      <c r="L38" s="391"/>
      <c r="M38" s="388"/>
    </row>
    <row r="39" spans="1:13" x14ac:dyDescent="0.25">
      <c r="A39" s="492"/>
      <c r="B39" s="392"/>
      <c r="C39" s="388"/>
      <c r="D39" s="388"/>
      <c r="E39" s="397"/>
      <c r="F39" s="388"/>
      <c r="G39" s="388"/>
      <c r="H39" s="391"/>
      <c r="I39" s="391"/>
      <c r="J39" s="391"/>
      <c r="K39" s="391"/>
      <c r="L39" s="391"/>
      <c r="M39" s="388"/>
    </row>
    <row r="40" spans="1:13" x14ac:dyDescent="0.25">
      <c r="A40" s="564" t="s">
        <v>142</v>
      </c>
      <c r="B40" s="564"/>
      <c r="C40" s="564"/>
      <c r="D40" s="564"/>
      <c r="E40" s="564"/>
      <c r="F40" s="564"/>
      <c r="G40" s="564"/>
      <c r="H40" s="564"/>
      <c r="I40" s="564"/>
      <c r="J40" s="564"/>
      <c r="K40" s="564"/>
      <c r="L40" s="564"/>
      <c r="M40" s="564"/>
    </row>
    <row r="41" spans="1:13" ht="240" x14ac:dyDescent="0.25">
      <c r="A41" s="492">
        <v>4</v>
      </c>
      <c r="B41" s="384" t="s">
        <v>289</v>
      </c>
      <c r="C41" s="262" t="s">
        <v>143</v>
      </c>
      <c r="D41" s="262" t="s">
        <v>16</v>
      </c>
      <c r="E41" s="385">
        <f>E42+E43</f>
        <v>689163</v>
      </c>
      <c r="F41" s="385">
        <f>F42+F43</f>
        <v>689163</v>
      </c>
      <c r="G41" s="386">
        <f t="shared" ref="G41:G62" si="3">F41/E41*100</f>
        <v>100</v>
      </c>
      <c r="H41" s="261">
        <v>100</v>
      </c>
      <c r="I41" s="385">
        <f>I42+I43</f>
        <v>2176748</v>
      </c>
      <c r="J41" s="385">
        <f>J42+J43</f>
        <v>2120973</v>
      </c>
      <c r="K41" s="386">
        <f t="shared" ref="K41:K85" si="4">J41/I41*100</f>
        <v>97.437691455326942</v>
      </c>
      <c r="L41" s="261">
        <v>100</v>
      </c>
      <c r="M41" s="388"/>
    </row>
    <row r="42" spans="1:13" s="155" customFormat="1" x14ac:dyDescent="0.25">
      <c r="A42" s="492"/>
      <c r="B42" s="387" t="s">
        <v>13</v>
      </c>
      <c r="C42" s="388"/>
      <c r="D42" s="388"/>
      <c r="E42" s="389">
        <v>664595</v>
      </c>
      <c r="F42" s="389">
        <v>664595</v>
      </c>
      <c r="G42" s="390">
        <f t="shared" si="3"/>
        <v>100</v>
      </c>
      <c r="H42" s="391"/>
      <c r="I42" s="389">
        <f>E42+'2016'!E24+'2017'!E34+'2018'!E41</f>
        <v>2102940</v>
      </c>
      <c r="J42" s="389">
        <f>F42+'2016'!F24+'2017'!F34+'2018'!F41</f>
        <v>2070615</v>
      </c>
      <c r="K42" s="390">
        <f t="shared" si="4"/>
        <v>98.462866272932175</v>
      </c>
      <c r="L42" s="391"/>
      <c r="M42" s="388"/>
    </row>
    <row r="43" spans="1:13" s="155" customFormat="1" x14ac:dyDescent="0.25">
      <c r="A43" s="492"/>
      <c r="B43" s="392" t="s">
        <v>582</v>
      </c>
      <c r="C43" s="388"/>
      <c r="D43" s="388"/>
      <c r="E43" s="389">
        <v>24568</v>
      </c>
      <c r="F43" s="389">
        <v>24568</v>
      </c>
      <c r="G43" s="390">
        <f t="shared" si="3"/>
        <v>100</v>
      </c>
      <c r="H43" s="391"/>
      <c r="I43" s="389">
        <f>E43+'2017'!E35+'2018'!E42</f>
        <v>73808</v>
      </c>
      <c r="J43" s="389">
        <f>F43+'2017'!F35+'2018'!F42</f>
        <v>50358</v>
      </c>
      <c r="K43" s="390">
        <f t="shared" si="4"/>
        <v>68.228376327769354</v>
      </c>
      <c r="L43" s="391"/>
      <c r="M43" s="388"/>
    </row>
    <row r="44" spans="1:13" s="155" customFormat="1" x14ac:dyDescent="0.25">
      <c r="A44" s="492"/>
      <c r="B44" s="381" t="s">
        <v>155</v>
      </c>
      <c r="C44" s="388"/>
      <c r="D44" s="388"/>
      <c r="E44" s="389"/>
      <c r="F44" s="389"/>
      <c r="G44" s="390"/>
      <c r="H44" s="391"/>
      <c r="I44" s="391"/>
      <c r="J44" s="391"/>
      <c r="K44" s="391"/>
      <c r="L44" s="391"/>
      <c r="M44" s="388"/>
    </row>
    <row r="45" spans="1:13" s="155" customFormat="1" ht="60" customHeight="1" x14ac:dyDescent="0.25">
      <c r="A45" s="492"/>
      <c r="B45" s="384" t="s">
        <v>440</v>
      </c>
      <c r="C45" s="262" t="s">
        <v>143</v>
      </c>
      <c r="D45" s="262">
        <v>2018</v>
      </c>
      <c r="E45" s="385"/>
      <c r="F45" s="389"/>
      <c r="G45" s="390"/>
      <c r="H45" s="391"/>
      <c r="I45" s="385">
        <f>I46</f>
        <v>32325</v>
      </c>
      <c r="J45" s="385">
        <f>J46</f>
        <v>0</v>
      </c>
      <c r="K45" s="386">
        <f t="shared" si="4"/>
        <v>0</v>
      </c>
      <c r="L45" s="391"/>
      <c r="M45" s="387" t="s">
        <v>437</v>
      </c>
    </row>
    <row r="46" spans="1:13" s="155" customFormat="1" x14ac:dyDescent="0.25">
      <c r="A46" s="492"/>
      <c r="B46" s="387" t="s">
        <v>13</v>
      </c>
      <c r="C46" s="388"/>
      <c r="D46" s="388"/>
      <c r="E46" s="389"/>
      <c r="F46" s="389"/>
      <c r="G46" s="390"/>
      <c r="H46" s="391"/>
      <c r="I46" s="389">
        <f>'2018'!E44</f>
        <v>32325</v>
      </c>
      <c r="J46" s="389">
        <f>'2018'!F44</f>
        <v>0</v>
      </c>
      <c r="K46" s="390">
        <f t="shared" si="4"/>
        <v>0</v>
      </c>
      <c r="L46" s="391"/>
      <c r="M46" s="388"/>
    </row>
    <row r="47" spans="1:13" s="155" customFormat="1" ht="120" x14ac:dyDescent="0.25">
      <c r="A47" s="492"/>
      <c r="B47" s="384" t="s">
        <v>573</v>
      </c>
      <c r="C47" s="262" t="s">
        <v>143</v>
      </c>
      <c r="D47" s="262">
        <v>2017</v>
      </c>
      <c r="E47" s="389"/>
      <c r="F47" s="389"/>
      <c r="G47" s="390"/>
      <c r="H47" s="391"/>
      <c r="I47" s="385">
        <f>I48+I49</f>
        <v>73450</v>
      </c>
      <c r="J47" s="385">
        <f>J48+J49</f>
        <v>50000</v>
      </c>
      <c r="K47" s="386">
        <f t="shared" si="4"/>
        <v>68.073519400953032</v>
      </c>
      <c r="L47" s="391"/>
      <c r="M47" s="388"/>
    </row>
    <row r="48" spans="1:13" s="155" customFormat="1" x14ac:dyDescent="0.25">
      <c r="A48" s="492"/>
      <c r="B48" s="387" t="s">
        <v>13</v>
      </c>
      <c r="C48" s="388"/>
      <c r="D48" s="388"/>
      <c r="E48" s="389"/>
      <c r="F48" s="389"/>
      <c r="G48" s="390"/>
      <c r="H48" s="391"/>
      <c r="I48" s="389">
        <f>'2017'!E38</f>
        <v>50000</v>
      </c>
      <c r="J48" s="389">
        <f>'2017'!F38</f>
        <v>50000</v>
      </c>
      <c r="K48" s="390">
        <f t="shared" si="4"/>
        <v>100</v>
      </c>
      <c r="L48" s="391"/>
      <c r="M48" s="388"/>
    </row>
    <row r="49" spans="1:13" s="155" customFormat="1" x14ac:dyDescent="0.25">
      <c r="A49" s="492"/>
      <c r="B49" s="392" t="s">
        <v>19</v>
      </c>
      <c r="C49" s="388"/>
      <c r="D49" s="388"/>
      <c r="E49" s="389"/>
      <c r="F49" s="389"/>
      <c r="G49" s="390"/>
      <c r="H49" s="391"/>
      <c r="I49" s="389">
        <f>'2017'!E39</f>
        <v>23450</v>
      </c>
      <c r="J49" s="389">
        <f>'2017'!F39</f>
        <v>0</v>
      </c>
      <c r="K49" s="390">
        <f t="shared" si="4"/>
        <v>0</v>
      </c>
      <c r="L49" s="391"/>
      <c r="M49" s="388"/>
    </row>
    <row r="50" spans="1:13" ht="45" x14ac:dyDescent="0.25">
      <c r="A50" s="492"/>
      <c r="B50" s="384" t="s">
        <v>441</v>
      </c>
      <c r="C50" s="262" t="s">
        <v>143</v>
      </c>
      <c r="D50" s="262">
        <v>2018</v>
      </c>
      <c r="E50" s="386"/>
      <c r="F50" s="386"/>
      <c r="G50" s="386"/>
      <c r="H50" s="261">
        <v>100</v>
      </c>
      <c r="I50" s="385">
        <f>I51+I52</f>
        <v>75290</v>
      </c>
      <c r="J50" s="385">
        <f>J51+J52</f>
        <v>75290</v>
      </c>
      <c r="K50" s="386">
        <f t="shared" si="4"/>
        <v>100</v>
      </c>
      <c r="L50" s="261"/>
      <c r="M50" s="388"/>
    </row>
    <row r="51" spans="1:13" s="155" customFormat="1" x14ac:dyDescent="0.25">
      <c r="A51" s="492"/>
      <c r="B51" s="387" t="s">
        <v>13</v>
      </c>
      <c r="C51" s="388"/>
      <c r="D51" s="388"/>
      <c r="E51" s="389"/>
      <c r="F51" s="389"/>
      <c r="G51" s="390"/>
      <c r="H51" s="391"/>
      <c r="I51" s="389">
        <f>'2018'!E48</f>
        <v>49500</v>
      </c>
      <c r="J51" s="389">
        <f>'2018'!F48</f>
        <v>49500</v>
      </c>
      <c r="K51" s="390">
        <f t="shared" si="4"/>
        <v>100</v>
      </c>
      <c r="L51" s="391"/>
      <c r="M51" s="388"/>
    </row>
    <row r="52" spans="1:13" s="155" customFormat="1" x14ac:dyDescent="0.25">
      <c r="A52" s="492"/>
      <c r="B52" s="392" t="s">
        <v>582</v>
      </c>
      <c r="C52" s="388"/>
      <c r="D52" s="388"/>
      <c r="E52" s="389"/>
      <c r="F52" s="389"/>
      <c r="G52" s="390"/>
      <c r="H52" s="391"/>
      <c r="I52" s="389">
        <f>'2018'!E49</f>
        <v>25790</v>
      </c>
      <c r="J52" s="389">
        <f>'2018'!F49</f>
        <v>25790</v>
      </c>
      <c r="K52" s="390">
        <f t="shared" si="4"/>
        <v>100</v>
      </c>
      <c r="L52" s="391"/>
      <c r="M52" s="388"/>
    </row>
    <row r="53" spans="1:13" s="155" customFormat="1" ht="90" x14ac:dyDescent="0.25">
      <c r="A53" s="492"/>
      <c r="B53" s="384" t="s">
        <v>574</v>
      </c>
      <c r="C53" s="262" t="s">
        <v>143</v>
      </c>
      <c r="D53" s="262" t="s">
        <v>575</v>
      </c>
      <c r="E53" s="386">
        <f>E54+E55</f>
        <v>84823</v>
      </c>
      <c r="F53" s="386">
        <f>F54+F55</f>
        <v>84823</v>
      </c>
      <c r="G53" s="390">
        <f t="shared" si="3"/>
        <v>100</v>
      </c>
      <c r="H53" s="391"/>
      <c r="I53" s="385">
        <f>I54+I55</f>
        <v>84823</v>
      </c>
      <c r="J53" s="385">
        <f>J54+J55</f>
        <v>84823</v>
      </c>
      <c r="K53" s="386">
        <f t="shared" si="4"/>
        <v>100</v>
      </c>
      <c r="L53" s="391"/>
      <c r="M53" s="388"/>
    </row>
    <row r="54" spans="1:13" s="155" customFormat="1" x14ac:dyDescent="0.25">
      <c r="A54" s="492"/>
      <c r="B54" s="387" t="s">
        <v>13</v>
      </c>
      <c r="C54" s="388"/>
      <c r="D54" s="388"/>
      <c r="E54" s="389">
        <v>60255</v>
      </c>
      <c r="F54" s="389">
        <v>60255</v>
      </c>
      <c r="G54" s="390">
        <f t="shared" si="3"/>
        <v>100</v>
      </c>
      <c r="H54" s="391"/>
      <c r="I54" s="389">
        <f>E54</f>
        <v>60255</v>
      </c>
      <c r="J54" s="389">
        <f>F54</f>
        <v>60255</v>
      </c>
      <c r="K54" s="390">
        <f t="shared" si="4"/>
        <v>100</v>
      </c>
      <c r="L54" s="391"/>
      <c r="M54" s="388"/>
    </row>
    <row r="55" spans="1:13" s="155" customFormat="1" x14ac:dyDescent="0.25">
      <c r="A55" s="492"/>
      <c r="B55" s="392" t="s">
        <v>582</v>
      </c>
      <c r="C55" s="388"/>
      <c r="D55" s="388"/>
      <c r="E55" s="389">
        <v>24568</v>
      </c>
      <c r="F55" s="389">
        <v>24568</v>
      </c>
      <c r="G55" s="390">
        <f t="shared" si="3"/>
        <v>100</v>
      </c>
      <c r="H55" s="391"/>
      <c r="I55" s="389">
        <v>24568</v>
      </c>
      <c r="J55" s="389">
        <v>24568</v>
      </c>
      <c r="K55" s="390">
        <f t="shared" si="4"/>
        <v>100</v>
      </c>
      <c r="L55" s="391"/>
      <c r="M55" s="388"/>
    </row>
    <row r="56" spans="1:13" ht="195" x14ac:dyDescent="0.25">
      <c r="A56" s="492">
        <v>5</v>
      </c>
      <c r="B56" s="384" t="s">
        <v>267</v>
      </c>
      <c r="C56" s="262" t="s">
        <v>143</v>
      </c>
      <c r="D56" s="262" t="s">
        <v>16</v>
      </c>
      <c r="E56" s="385">
        <f>E57</f>
        <v>592820</v>
      </c>
      <c r="F56" s="385">
        <f>F57</f>
        <v>592820</v>
      </c>
      <c r="G56" s="386">
        <f t="shared" si="3"/>
        <v>100</v>
      </c>
      <c r="H56" s="261">
        <v>100</v>
      </c>
      <c r="I56" s="385">
        <f>I57</f>
        <v>3733615</v>
      </c>
      <c r="J56" s="385">
        <f>J57</f>
        <v>3360668.8</v>
      </c>
      <c r="K56" s="386">
        <f t="shared" si="4"/>
        <v>90.011123267932021</v>
      </c>
      <c r="L56" s="261">
        <v>100</v>
      </c>
      <c r="M56" s="445"/>
    </row>
    <row r="57" spans="1:13" s="155" customFormat="1" x14ac:dyDescent="0.25">
      <c r="A57" s="492"/>
      <c r="B57" s="387" t="s">
        <v>13</v>
      </c>
      <c r="C57" s="388"/>
      <c r="D57" s="388"/>
      <c r="E57" s="389">
        <v>592820</v>
      </c>
      <c r="F57" s="389">
        <v>592820</v>
      </c>
      <c r="G57" s="390">
        <f t="shared" si="3"/>
        <v>100</v>
      </c>
      <c r="H57" s="391"/>
      <c r="I57" s="389">
        <f>E57+'2016'!E26+'2017'!E41+'2018'!E51</f>
        <v>3733615</v>
      </c>
      <c r="J57" s="389">
        <f>F57+'2016'!F26+'2017'!F41+'2018'!F51</f>
        <v>3360668.8</v>
      </c>
      <c r="K57" s="390">
        <f t="shared" si="4"/>
        <v>90.011123267932021</v>
      </c>
      <c r="L57" s="391"/>
      <c r="M57" s="388"/>
    </row>
    <row r="58" spans="1:13" s="155" customFormat="1" ht="92.25" customHeight="1" x14ac:dyDescent="0.25">
      <c r="A58" s="492"/>
      <c r="B58" s="384" t="s">
        <v>442</v>
      </c>
      <c r="C58" s="262" t="s">
        <v>143</v>
      </c>
      <c r="D58" s="262">
        <v>2018</v>
      </c>
      <c r="E58" s="385"/>
      <c r="F58" s="385"/>
      <c r="G58" s="390"/>
      <c r="H58" s="391"/>
      <c r="I58" s="386">
        <f>I59</f>
        <v>30025</v>
      </c>
      <c r="J58" s="386">
        <f>J59</f>
        <v>0</v>
      </c>
      <c r="K58" s="386">
        <f t="shared" si="4"/>
        <v>0</v>
      </c>
      <c r="L58" s="391"/>
      <c r="M58" s="387" t="s">
        <v>437</v>
      </c>
    </row>
    <row r="59" spans="1:13" s="155" customFormat="1" x14ac:dyDescent="0.25">
      <c r="A59" s="492"/>
      <c r="B59" s="387" t="s">
        <v>13</v>
      </c>
      <c r="C59" s="388"/>
      <c r="D59" s="388"/>
      <c r="E59" s="389"/>
      <c r="F59" s="389"/>
      <c r="G59" s="390"/>
      <c r="H59" s="391"/>
      <c r="I59" s="389">
        <f>'2018'!E53</f>
        <v>30025</v>
      </c>
      <c r="J59" s="389">
        <f>'2018'!F53</f>
        <v>0</v>
      </c>
      <c r="K59" s="390">
        <f t="shared" si="4"/>
        <v>0</v>
      </c>
      <c r="L59" s="391"/>
      <c r="M59" s="388"/>
    </row>
    <row r="60" spans="1:13" ht="120" x14ac:dyDescent="0.25">
      <c r="A60" s="492">
        <v>6</v>
      </c>
      <c r="B60" s="384" t="s">
        <v>283</v>
      </c>
      <c r="C60" s="262" t="s">
        <v>143</v>
      </c>
      <c r="D60" s="262" t="s">
        <v>16</v>
      </c>
      <c r="E60" s="385">
        <f>E61+E62</f>
        <v>3250743</v>
      </c>
      <c r="F60" s="385">
        <f>F61+F62</f>
        <v>3250743</v>
      </c>
      <c r="G60" s="386">
        <f t="shared" si="3"/>
        <v>100</v>
      </c>
      <c r="H60" s="261">
        <v>100</v>
      </c>
      <c r="I60" s="385">
        <f>I61+I62</f>
        <v>10490157.1</v>
      </c>
      <c r="J60" s="385">
        <f>J61+J62</f>
        <v>9224882.0700000003</v>
      </c>
      <c r="K60" s="386">
        <f t="shared" si="4"/>
        <v>87.938454896924284</v>
      </c>
      <c r="L60" s="261">
        <v>100</v>
      </c>
      <c r="M60" s="388"/>
    </row>
    <row r="61" spans="1:13" s="155" customFormat="1" x14ac:dyDescent="0.25">
      <c r="A61" s="492"/>
      <c r="B61" s="387" t="s">
        <v>13</v>
      </c>
      <c r="C61" s="388"/>
      <c r="D61" s="388"/>
      <c r="E61" s="389">
        <v>3170840</v>
      </c>
      <c r="F61" s="389">
        <v>3170840</v>
      </c>
      <c r="G61" s="390">
        <f t="shared" si="3"/>
        <v>100</v>
      </c>
      <c r="H61" s="391"/>
      <c r="I61" s="389">
        <f>E61+'2016'!E28+'2017'!E43+'2018'!E55</f>
        <v>10330351.1</v>
      </c>
      <c r="J61" s="389">
        <f>F61+'2016'!F28+'2017'!F43+'2018'!F55</f>
        <v>9065076.0700000003</v>
      </c>
      <c r="K61" s="390">
        <f t="shared" si="4"/>
        <v>87.751868085103141</v>
      </c>
      <c r="L61" s="391"/>
      <c r="M61" s="388"/>
    </row>
    <row r="62" spans="1:13" s="155" customFormat="1" x14ac:dyDescent="0.25">
      <c r="A62" s="492"/>
      <c r="B62" s="392" t="s">
        <v>582</v>
      </c>
      <c r="C62" s="388"/>
      <c r="D62" s="388"/>
      <c r="E62" s="389">
        <f>E66+E69</f>
        <v>79903</v>
      </c>
      <c r="F62" s="389">
        <f>F66+F69</f>
        <v>79903</v>
      </c>
      <c r="G62" s="390">
        <f t="shared" si="3"/>
        <v>100</v>
      </c>
      <c r="H62" s="391"/>
      <c r="I62" s="389">
        <f>'2018'!E56+'2019'!E62</f>
        <v>159806</v>
      </c>
      <c r="J62" s="389">
        <f>'2018'!F56+'2019'!F62</f>
        <v>159806</v>
      </c>
      <c r="K62" s="390">
        <f t="shared" si="4"/>
        <v>100</v>
      </c>
      <c r="L62" s="391"/>
      <c r="M62" s="388"/>
    </row>
    <row r="63" spans="1:13" s="155" customFormat="1" x14ac:dyDescent="0.25">
      <c r="A63" s="492"/>
      <c r="B63" s="398" t="s">
        <v>443</v>
      </c>
      <c r="C63" s="388"/>
      <c r="D63" s="388"/>
      <c r="E63" s="389"/>
      <c r="F63" s="389"/>
      <c r="G63" s="390"/>
      <c r="H63" s="391"/>
      <c r="I63" s="391"/>
      <c r="J63" s="391"/>
      <c r="K63" s="390"/>
      <c r="L63" s="391"/>
      <c r="M63" s="388"/>
    </row>
    <row r="64" spans="1:13" s="155" customFormat="1" ht="60" x14ac:dyDescent="0.25">
      <c r="A64" s="492"/>
      <c r="B64" s="384" t="s">
        <v>444</v>
      </c>
      <c r="C64" s="262" t="s">
        <v>143</v>
      </c>
      <c r="D64" s="262" t="s">
        <v>445</v>
      </c>
      <c r="E64" s="385">
        <f>E65+E66</f>
        <v>101473</v>
      </c>
      <c r="F64" s="385">
        <f>F65+F66</f>
        <v>101473</v>
      </c>
      <c r="G64" s="386">
        <f t="shared" ref="G64:G85" si="5">F64/E64*100</f>
        <v>100</v>
      </c>
      <c r="H64" s="261">
        <v>100</v>
      </c>
      <c r="I64" s="385">
        <f>I65+I66</f>
        <v>180036</v>
      </c>
      <c r="J64" s="385">
        <f>J65+J66</f>
        <v>180036</v>
      </c>
      <c r="K64" s="386">
        <f t="shared" si="4"/>
        <v>100</v>
      </c>
      <c r="L64" s="261"/>
      <c r="M64" s="388"/>
    </row>
    <row r="65" spans="1:13" s="155" customFormat="1" x14ac:dyDescent="0.25">
      <c r="A65" s="492"/>
      <c r="B65" s="387" t="s">
        <v>13</v>
      </c>
      <c r="C65" s="388"/>
      <c r="D65" s="388"/>
      <c r="E65" s="389">
        <v>73400</v>
      </c>
      <c r="F65" s="389">
        <v>73400</v>
      </c>
      <c r="G65" s="390">
        <f t="shared" si="5"/>
        <v>100</v>
      </c>
      <c r="H65" s="391"/>
      <c r="I65" s="389">
        <f>'2018'!E59+'2019'!E65</f>
        <v>123890</v>
      </c>
      <c r="J65" s="389">
        <f>'2018'!F59+'2019'!F65</f>
        <v>123890</v>
      </c>
      <c r="K65" s="390">
        <f t="shared" si="4"/>
        <v>100</v>
      </c>
      <c r="L65" s="391"/>
      <c r="M65" s="388"/>
    </row>
    <row r="66" spans="1:13" s="155" customFormat="1" x14ac:dyDescent="0.25">
      <c r="A66" s="492"/>
      <c r="B66" s="392" t="s">
        <v>582</v>
      </c>
      <c r="C66" s="388"/>
      <c r="D66" s="388"/>
      <c r="E66" s="389">
        <v>28073</v>
      </c>
      <c r="F66" s="389">
        <v>28073</v>
      </c>
      <c r="G66" s="390">
        <f t="shared" si="5"/>
        <v>100</v>
      </c>
      <c r="H66" s="391"/>
      <c r="I66" s="389">
        <f>E66+'2018'!E60</f>
        <v>56146</v>
      </c>
      <c r="J66" s="389">
        <f>F66+'2018'!F60</f>
        <v>56146</v>
      </c>
      <c r="K66" s="390">
        <f t="shared" si="4"/>
        <v>100</v>
      </c>
      <c r="L66" s="391"/>
      <c r="M66" s="388"/>
    </row>
    <row r="67" spans="1:13" s="155" customFormat="1" ht="60" x14ac:dyDescent="0.25">
      <c r="A67" s="492"/>
      <c r="B67" s="384" t="s">
        <v>446</v>
      </c>
      <c r="C67" s="262" t="s">
        <v>143</v>
      </c>
      <c r="D67" s="262" t="s">
        <v>445</v>
      </c>
      <c r="E67" s="385">
        <f>E68+E69</f>
        <v>182580</v>
      </c>
      <c r="F67" s="385">
        <f>F68+F69</f>
        <v>182580</v>
      </c>
      <c r="G67" s="386">
        <f t="shared" si="5"/>
        <v>100</v>
      </c>
      <c r="H67" s="261">
        <v>100</v>
      </c>
      <c r="I67" s="385">
        <f>I68+I69</f>
        <v>325280</v>
      </c>
      <c r="J67" s="385">
        <f>J68+J69</f>
        <v>325280</v>
      </c>
      <c r="K67" s="386">
        <f t="shared" si="4"/>
        <v>100</v>
      </c>
      <c r="L67" s="261"/>
      <c r="M67" s="388"/>
    </row>
    <row r="68" spans="1:13" s="155" customFormat="1" x14ac:dyDescent="0.25">
      <c r="A68" s="492"/>
      <c r="B68" s="387" t="s">
        <v>13</v>
      </c>
      <c r="C68" s="388"/>
      <c r="D68" s="388"/>
      <c r="E68" s="389">
        <v>130750</v>
      </c>
      <c r="F68" s="389">
        <v>130750</v>
      </c>
      <c r="G68" s="390">
        <f t="shared" si="5"/>
        <v>100</v>
      </c>
      <c r="H68" s="391"/>
      <c r="I68" s="389">
        <f>E68+'2018'!E62</f>
        <v>221620</v>
      </c>
      <c r="J68" s="389">
        <f>F68+'2018'!F62</f>
        <v>221620</v>
      </c>
      <c r="K68" s="390">
        <f t="shared" si="4"/>
        <v>100</v>
      </c>
      <c r="L68" s="391"/>
      <c r="M68" s="388"/>
    </row>
    <row r="69" spans="1:13" s="155" customFormat="1" x14ac:dyDescent="0.25">
      <c r="A69" s="492"/>
      <c r="B69" s="392" t="s">
        <v>582</v>
      </c>
      <c r="C69" s="388"/>
      <c r="D69" s="388"/>
      <c r="E69" s="389">
        <v>51830</v>
      </c>
      <c r="F69" s="389">
        <v>51830</v>
      </c>
      <c r="G69" s="390">
        <f t="shared" si="5"/>
        <v>100</v>
      </c>
      <c r="H69" s="391"/>
      <c r="I69" s="389">
        <f>'2019'!E69+'2018'!E63</f>
        <v>103660</v>
      </c>
      <c r="J69" s="389">
        <f>'2019'!F69+'2018'!F63</f>
        <v>103660</v>
      </c>
      <c r="K69" s="390">
        <f t="shared" si="4"/>
        <v>100</v>
      </c>
      <c r="L69" s="391"/>
      <c r="M69" s="388"/>
    </row>
    <row r="70" spans="1:13" ht="135" x14ac:dyDescent="0.25">
      <c r="A70" s="492">
        <v>7</v>
      </c>
      <c r="B70" s="384" t="s">
        <v>266</v>
      </c>
      <c r="C70" s="262" t="s">
        <v>143</v>
      </c>
      <c r="D70" s="386" t="s">
        <v>16</v>
      </c>
      <c r="E70" s="385">
        <f>E71</f>
        <v>827740</v>
      </c>
      <c r="F70" s="385">
        <f>F71</f>
        <v>827740</v>
      </c>
      <c r="G70" s="386">
        <f t="shared" si="5"/>
        <v>100</v>
      </c>
      <c r="H70" s="261">
        <v>100</v>
      </c>
      <c r="I70" s="385">
        <f>I71</f>
        <v>2403040</v>
      </c>
      <c r="J70" s="385">
        <f>J71</f>
        <v>2403040</v>
      </c>
      <c r="K70" s="386">
        <f t="shared" si="4"/>
        <v>100</v>
      </c>
      <c r="L70" s="261">
        <v>100</v>
      </c>
      <c r="M70" s="388"/>
    </row>
    <row r="71" spans="1:13" s="155" customFormat="1" x14ac:dyDescent="0.25">
      <c r="A71" s="492"/>
      <c r="B71" s="387" t="s">
        <v>13</v>
      </c>
      <c r="C71" s="388"/>
      <c r="D71" s="388"/>
      <c r="E71" s="389">
        <v>827740</v>
      </c>
      <c r="F71" s="389">
        <v>827740</v>
      </c>
      <c r="G71" s="390">
        <f t="shared" si="5"/>
        <v>100</v>
      </c>
      <c r="H71" s="391"/>
      <c r="I71" s="389">
        <f>E71+'2016'!E31+'2017'!E45+'2018'!E65</f>
        <v>2403040</v>
      </c>
      <c r="J71" s="389">
        <f>F71+'2016'!F31+'2017'!F45+'2018'!F65</f>
        <v>2403040</v>
      </c>
      <c r="K71" s="390">
        <f t="shared" si="4"/>
        <v>100</v>
      </c>
      <c r="L71" s="391"/>
      <c r="M71" s="388"/>
    </row>
    <row r="72" spans="1:13" ht="120" x14ac:dyDescent="0.25">
      <c r="A72" s="492">
        <v>8</v>
      </c>
      <c r="B72" s="384" t="s">
        <v>265</v>
      </c>
      <c r="C72" s="262" t="s">
        <v>143</v>
      </c>
      <c r="D72" s="262" t="s">
        <v>16</v>
      </c>
      <c r="E72" s="385">
        <f>E73</f>
        <v>602000</v>
      </c>
      <c r="F72" s="385">
        <f>F73</f>
        <v>602000</v>
      </c>
      <c r="G72" s="386">
        <f t="shared" si="5"/>
        <v>100</v>
      </c>
      <c r="H72" s="261">
        <v>100</v>
      </c>
      <c r="I72" s="385">
        <f>I73</f>
        <v>1702950</v>
      </c>
      <c r="J72" s="385">
        <f>J73</f>
        <v>1611000</v>
      </c>
      <c r="K72" s="386">
        <f t="shared" si="4"/>
        <v>94.600546111160043</v>
      </c>
      <c r="L72" s="261">
        <v>100</v>
      </c>
      <c r="M72" s="388"/>
    </row>
    <row r="73" spans="1:13" s="155" customFormat="1" x14ac:dyDescent="0.25">
      <c r="A73" s="492"/>
      <c r="B73" s="387" t="s">
        <v>13</v>
      </c>
      <c r="C73" s="388"/>
      <c r="D73" s="388"/>
      <c r="E73" s="389">
        <v>602000</v>
      </c>
      <c r="F73" s="389">
        <v>602000</v>
      </c>
      <c r="G73" s="390">
        <f t="shared" si="5"/>
        <v>100</v>
      </c>
      <c r="H73" s="391"/>
      <c r="I73" s="389">
        <f>E73+'2016'!E33+'2017'!E47+'2018'!E67</f>
        <v>1702950</v>
      </c>
      <c r="J73" s="389">
        <f>F73+'2016'!F33+'2017'!F47+'2018'!F67</f>
        <v>1611000</v>
      </c>
      <c r="K73" s="390">
        <f t="shared" si="4"/>
        <v>94.600546111160043</v>
      </c>
      <c r="L73" s="391"/>
      <c r="M73" s="388"/>
    </row>
    <row r="74" spans="1:13" ht="45" x14ac:dyDescent="0.25">
      <c r="A74" s="492">
        <v>9</v>
      </c>
      <c r="B74" s="384" t="s">
        <v>264</v>
      </c>
      <c r="C74" s="262" t="s">
        <v>143</v>
      </c>
      <c r="D74" s="262" t="s">
        <v>16</v>
      </c>
      <c r="E74" s="385">
        <f>E75</f>
        <v>528000</v>
      </c>
      <c r="F74" s="385">
        <f>F75</f>
        <v>307256.15000000002</v>
      </c>
      <c r="G74" s="386">
        <f t="shared" si="5"/>
        <v>58.192452651515161</v>
      </c>
      <c r="H74" s="261">
        <v>100</v>
      </c>
      <c r="I74" s="385">
        <f>I75</f>
        <v>3268000</v>
      </c>
      <c r="J74" s="385">
        <f>J75</f>
        <v>1253154.58</v>
      </c>
      <c r="K74" s="386">
        <f t="shared" si="4"/>
        <v>38.346223378212976</v>
      </c>
      <c r="L74" s="261">
        <v>100</v>
      </c>
      <c r="M74" s="388"/>
    </row>
    <row r="75" spans="1:13" s="155" customFormat="1" x14ac:dyDescent="0.25">
      <c r="A75" s="492"/>
      <c r="B75" s="392" t="s">
        <v>582</v>
      </c>
      <c r="C75" s="388"/>
      <c r="D75" s="388"/>
      <c r="E75" s="389">
        <v>528000</v>
      </c>
      <c r="F75" s="389">
        <v>307256.15000000002</v>
      </c>
      <c r="G75" s="390">
        <f t="shared" si="5"/>
        <v>58.192452651515161</v>
      </c>
      <c r="H75" s="391"/>
      <c r="I75" s="389">
        <f>E75+'2016'!E35+'2017'!E49+'2018'!E69</f>
        <v>3268000</v>
      </c>
      <c r="J75" s="389">
        <f>F75+'2016'!F35+'2017'!F49+'2018'!F69</f>
        <v>1253154.58</v>
      </c>
      <c r="K75" s="390">
        <f t="shared" si="4"/>
        <v>38.346223378212976</v>
      </c>
      <c r="L75" s="391"/>
      <c r="M75" s="388"/>
    </row>
    <row r="76" spans="1:13" x14ac:dyDescent="0.25">
      <c r="A76" s="492"/>
      <c r="B76" s="394" t="s">
        <v>54</v>
      </c>
      <c r="C76" s="388"/>
      <c r="D76" s="388"/>
      <c r="E76" s="395">
        <f>E77+E80</f>
        <v>6490466</v>
      </c>
      <c r="F76" s="395">
        <f>F77+F80</f>
        <v>6269722.1500000004</v>
      </c>
      <c r="G76" s="396">
        <f t="shared" si="5"/>
        <v>96.598952216990284</v>
      </c>
      <c r="H76" s="391"/>
      <c r="I76" s="395">
        <f>I77+I80</f>
        <v>23774510.100000001</v>
      </c>
      <c r="J76" s="395">
        <f>J77+J80</f>
        <v>19973718.450000003</v>
      </c>
      <c r="K76" s="396">
        <f t="shared" si="4"/>
        <v>84.013165217650482</v>
      </c>
      <c r="L76" s="391"/>
      <c r="M76" s="388"/>
    </row>
    <row r="77" spans="1:13" s="155" customFormat="1" x14ac:dyDescent="0.25">
      <c r="A77" s="492"/>
      <c r="B77" s="387" t="s">
        <v>13</v>
      </c>
      <c r="C77" s="388"/>
      <c r="D77" s="388"/>
      <c r="E77" s="389">
        <f>E73+E71+E61+E57+E42</f>
        <v>5857995</v>
      </c>
      <c r="F77" s="389">
        <f>F73+F71+F61+F57+F42</f>
        <v>5857995</v>
      </c>
      <c r="G77" s="390">
        <f t="shared" si="5"/>
        <v>100</v>
      </c>
      <c r="H77" s="391"/>
      <c r="I77" s="389">
        <f>I73+I71+I61+I57+I42</f>
        <v>20272896.100000001</v>
      </c>
      <c r="J77" s="389">
        <f>J73+J71+J61+J57+J42</f>
        <v>18510399.870000001</v>
      </c>
      <c r="K77" s="390">
        <f t="shared" si="4"/>
        <v>91.306144808782392</v>
      </c>
      <c r="L77" s="391"/>
      <c r="M77" s="388"/>
    </row>
    <row r="78" spans="1:13" s="155" customFormat="1" x14ac:dyDescent="0.25">
      <c r="A78" s="492"/>
      <c r="B78" s="387" t="s">
        <v>438</v>
      </c>
      <c r="C78" s="388"/>
      <c r="D78" s="388"/>
      <c r="E78" s="389"/>
      <c r="F78" s="389"/>
      <c r="G78" s="390"/>
      <c r="H78" s="391"/>
      <c r="I78" s="391"/>
      <c r="J78" s="391"/>
      <c r="K78" s="390"/>
      <c r="L78" s="391"/>
      <c r="M78" s="388"/>
    </row>
    <row r="79" spans="1:13" s="155" customFormat="1" ht="33.75" customHeight="1" x14ac:dyDescent="0.25">
      <c r="A79" s="492"/>
      <c r="B79" s="387" t="s">
        <v>439</v>
      </c>
      <c r="C79" s="388"/>
      <c r="D79" s="388"/>
      <c r="E79" s="389">
        <f>E48+E51+E54+E65+E68</f>
        <v>264405</v>
      </c>
      <c r="F79" s="389">
        <f>F48+F51+F54+F65+F68</f>
        <v>264405</v>
      </c>
      <c r="G79" s="390">
        <f t="shared" si="5"/>
        <v>100</v>
      </c>
      <c r="H79" s="391"/>
      <c r="I79" s="389">
        <f>I48+I51+I54+I65+I68</f>
        <v>505265</v>
      </c>
      <c r="J79" s="389">
        <f>J48+J51+J54+J65+J68</f>
        <v>505265</v>
      </c>
      <c r="K79" s="390">
        <f t="shared" si="4"/>
        <v>100</v>
      </c>
      <c r="L79" s="391"/>
      <c r="M79" s="388"/>
    </row>
    <row r="80" spans="1:13" s="155" customFormat="1" x14ac:dyDescent="0.25">
      <c r="A80" s="492"/>
      <c r="B80" s="392" t="s">
        <v>19</v>
      </c>
      <c r="C80" s="388"/>
      <c r="D80" s="388"/>
      <c r="E80" s="389">
        <f>E75+E43+E62</f>
        <v>632471</v>
      </c>
      <c r="F80" s="389">
        <f>F43+F62+F75</f>
        <v>411727.15</v>
      </c>
      <c r="G80" s="390">
        <f t="shared" si="5"/>
        <v>65.098186320005198</v>
      </c>
      <c r="H80" s="391"/>
      <c r="I80" s="389">
        <f>I75+I43+I62</f>
        <v>3501614</v>
      </c>
      <c r="J80" s="389">
        <f>J43+J62+J75</f>
        <v>1463318.58</v>
      </c>
      <c r="K80" s="390">
        <f t="shared" si="4"/>
        <v>41.789831203553561</v>
      </c>
      <c r="L80" s="391"/>
      <c r="M80" s="388"/>
    </row>
    <row r="81" spans="1:13" x14ac:dyDescent="0.25">
      <c r="A81" s="492"/>
      <c r="B81" s="394" t="s">
        <v>73</v>
      </c>
      <c r="C81" s="388"/>
      <c r="D81" s="388"/>
      <c r="E81" s="395">
        <f>E82+E85</f>
        <v>100343580.45</v>
      </c>
      <c r="F81" s="395">
        <f>F82+F85</f>
        <v>66960534.5</v>
      </c>
      <c r="G81" s="396">
        <f t="shared" si="5"/>
        <v>66.731258940242441</v>
      </c>
      <c r="H81" s="391"/>
      <c r="I81" s="395">
        <f>I82+I85</f>
        <v>215987345.44999999</v>
      </c>
      <c r="J81" s="395">
        <f>J82+J85</f>
        <v>173003356.17000002</v>
      </c>
      <c r="K81" s="396">
        <f t="shared" si="4"/>
        <v>80.098839035942248</v>
      </c>
      <c r="L81" s="391"/>
      <c r="M81" s="388"/>
    </row>
    <row r="82" spans="1:13" s="155" customFormat="1" x14ac:dyDescent="0.25">
      <c r="A82" s="492"/>
      <c r="B82" s="387" t="s">
        <v>13</v>
      </c>
      <c r="C82" s="388"/>
      <c r="D82" s="388"/>
      <c r="E82" s="389">
        <f>E77+E35</f>
        <v>12920276</v>
      </c>
      <c r="F82" s="389">
        <f>F77+F35</f>
        <v>12920276</v>
      </c>
      <c r="G82" s="390">
        <f t="shared" si="5"/>
        <v>100</v>
      </c>
      <c r="H82" s="391"/>
      <c r="I82" s="389">
        <f>I77+I35</f>
        <v>46778803</v>
      </c>
      <c r="J82" s="389">
        <f>J77+J35</f>
        <v>42513413.620000005</v>
      </c>
      <c r="K82" s="390">
        <f t="shared" si="4"/>
        <v>90.881790241618631</v>
      </c>
      <c r="L82" s="391"/>
      <c r="M82" s="388"/>
    </row>
    <row r="83" spans="1:13" s="155" customFormat="1" x14ac:dyDescent="0.25">
      <c r="A83" s="492"/>
      <c r="B83" s="387" t="s">
        <v>438</v>
      </c>
      <c r="C83" s="388"/>
      <c r="D83" s="388"/>
      <c r="E83" s="389"/>
      <c r="F83" s="389"/>
      <c r="G83" s="390"/>
      <c r="H83" s="391"/>
      <c r="I83" s="391"/>
      <c r="J83" s="391"/>
      <c r="K83" s="390"/>
      <c r="L83" s="391"/>
      <c r="M83" s="388"/>
    </row>
    <row r="84" spans="1:13" s="155" customFormat="1" ht="45" x14ac:dyDescent="0.25">
      <c r="A84" s="492"/>
      <c r="B84" s="387" t="s">
        <v>439</v>
      </c>
      <c r="C84" s="388"/>
      <c r="D84" s="388"/>
      <c r="E84" s="389">
        <f>E37+E79</f>
        <v>403585</v>
      </c>
      <c r="F84" s="389">
        <f>F37+F79</f>
        <v>403585</v>
      </c>
      <c r="G84" s="390">
        <f t="shared" si="5"/>
        <v>100</v>
      </c>
      <c r="H84" s="391"/>
      <c r="I84" s="389">
        <f>I37+I79</f>
        <v>984359</v>
      </c>
      <c r="J84" s="389">
        <f>J37+J79</f>
        <v>984359</v>
      </c>
      <c r="K84" s="390">
        <f t="shared" si="4"/>
        <v>100</v>
      </c>
      <c r="L84" s="391"/>
      <c r="M84" s="388"/>
    </row>
    <row r="85" spans="1:13" s="155" customFormat="1" x14ac:dyDescent="0.25">
      <c r="A85" s="492"/>
      <c r="B85" s="387" t="s">
        <v>144</v>
      </c>
      <c r="C85" s="388"/>
      <c r="D85" s="388"/>
      <c r="E85" s="389">
        <f>E38+E80</f>
        <v>87423304.450000003</v>
      </c>
      <c r="F85" s="389">
        <f>F38+F80</f>
        <v>54040258.5</v>
      </c>
      <c r="G85" s="390">
        <f t="shared" si="5"/>
        <v>61.814477089352351</v>
      </c>
      <c r="H85" s="391"/>
      <c r="I85" s="389">
        <f>I38+I80</f>
        <v>169208542.44999999</v>
      </c>
      <c r="J85" s="389">
        <f>J38+J80</f>
        <v>130489942.55</v>
      </c>
      <c r="K85" s="390">
        <f t="shared" si="4"/>
        <v>77.117821984997548</v>
      </c>
      <c r="L85" s="391"/>
      <c r="M85" s="390"/>
    </row>
    <row r="86" spans="1:13" x14ac:dyDescent="0.25">
      <c r="A86" s="492"/>
      <c r="B86" s="387"/>
      <c r="C86" s="262"/>
      <c r="D86" s="262"/>
      <c r="E86" s="262"/>
      <c r="F86" s="262"/>
      <c r="G86" s="262"/>
      <c r="H86" s="261"/>
      <c r="I86" s="261"/>
      <c r="J86" s="261"/>
      <c r="K86" s="261"/>
      <c r="L86" s="261"/>
      <c r="M86" s="262"/>
    </row>
    <row r="87" spans="1:13" x14ac:dyDescent="0.25">
      <c r="A87" s="565" t="s">
        <v>304</v>
      </c>
      <c r="B87" s="565"/>
      <c r="C87" s="565"/>
      <c r="D87" s="565"/>
      <c r="E87" s="565"/>
      <c r="F87" s="565"/>
      <c r="G87" s="565"/>
      <c r="H87" s="565"/>
      <c r="I87" s="565"/>
      <c r="J87" s="565"/>
      <c r="K87" s="565"/>
      <c r="L87" s="565"/>
      <c r="M87" s="565"/>
    </row>
    <row r="88" spans="1:13" x14ac:dyDescent="0.25">
      <c r="A88" s="564" t="s">
        <v>60</v>
      </c>
      <c r="B88" s="564"/>
      <c r="C88" s="564"/>
      <c r="D88" s="564"/>
      <c r="E88" s="564"/>
      <c r="F88" s="564"/>
      <c r="G88" s="564"/>
      <c r="H88" s="564"/>
      <c r="I88" s="564"/>
      <c r="J88" s="564"/>
      <c r="K88" s="564"/>
      <c r="L88" s="564"/>
      <c r="M88" s="564"/>
    </row>
    <row r="89" spans="1:13" ht="224.25" customHeight="1" x14ac:dyDescent="0.25">
      <c r="A89" s="492">
        <v>10</v>
      </c>
      <c r="B89" s="384" t="s">
        <v>447</v>
      </c>
      <c r="C89" s="262" t="s">
        <v>14</v>
      </c>
      <c r="D89" s="262" t="s">
        <v>16</v>
      </c>
      <c r="E89" s="385">
        <f>E90</f>
        <v>608700</v>
      </c>
      <c r="F89" s="385">
        <f>F90</f>
        <v>608509.43999999994</v>
      </c>
      <c r="G89" s="386">
        <f t="shared" ref="G89:G93" si="6">F89/E89*100</f>
        <v>99.968693937900426</v>
      </c>
      <c r="H89" s="481">
        <v>98</v>
      </c>
      <c r="I89" s="385">
        <f>I90</f>
        <v>1783310</v>
      </c>
      <c r="J89" s="385">
        <f>J90</f>
        <v>1604107.1099999999</v>
      </c>
      <c r="K89" s="386">
        <f t="shared" ref="K89:K101" si="7">J89/I89*100</f>
        <v>89.951108332258542</v>
      </c>
      <c r="L89" s="481">
        <v>99.5</v>
      </c>
      <c r="M89" s="384" t="s">
        <v>623</v>
      </c>
    </row>
    <row r="90" spans="1:13" s="155" customFormat="1" x14ac:dyDescent="0.25">
      <c r="A90" s="492"/>
      <c r="B90" s="387" t="s">
        <v>621</v>
      </c>
      <c r="C90" s="388"/>
      <c r="D90" s="388"/>
      <c r="E90" s="389">
        <v>608700</v>
      </c>
      <c r="F90" s="389">
        <v>608509.43999999994</v>
      </c>
      <c r="G90" s="390">
        <f t="shared" si="6"/>
        <v>99.968693937900426</v>
      </c>
      <c r="H90" s="391"/>
      <c r="I90" s="389">
        <f>E90+'2016'!E46++'2017'!E60+'2018'!E84</f>
        <v>1783310</v>
      </c>
      <c r="J90" s="389">
        <f>F90+'2016'!F46++'2017'!F60+'2018'!F84</f>
        <v>1604107.1099999999</v>
      </c>
      <c r="K90" s="390">
        <f t="shared" si="7"/>
        <v>89.951108332258542</v>
      </c>
      <c r="L90" s="391"/>
      <c r="M90" s="388"/>
    </row>
    <row r="91" spans="1:13" s="155" customFormat="1" ht="30" x14ac:dyDescent="0.25">
      <c r="A91" s="492"/>
      <c r="B91" s="387" t="s">
        <v>622</v>
      </c>
      <c r="C91" s="388"/>
      <c r="D91" s="388"/>
      <c r="E91" s="389"/>
      <c r="F91" s="389"/>
      <c r="G91" s="390"/>
      <c r="H91" s="391"/>
      <c r="I91" s="389">
        <v>800000</v>
      </c>
      <c r="J91" s="389">
        <v>622722.01</v>
      </c>
      <c r="K91" s="390">
        <f t="shared" ref="K91" si="8">J91/I91*100</f>
        <v>77.840251250000009</v>
      </c>
      <c r="L91" s="391"/>
      <c r="M91" s="388"/>
    </row>
    <row r="92" spans="1:13" x14ac:dyDescent="0.25">
      <c r="A92" s="492"/>
      <c r="B92" s="394" t="s">
        <v>54</v>
      </c>
      <c r="C92" s="262"/>
      <c r="D92" s="262"/>
      <c r="E92" s="395">
        <f>E89</f>
        <v>608700</v>
      </c>
      <c r="F92" s="395">
        <f>F89</f>
        <v>608509.43999999994</v>
      </c>
      <c r="G92" s="396">
        <f t="shared" si="6"/>
        <v>99.968693937900426</v>
      </c>
      <c r="H92" s="261"/>
      <c r="I92" s="395">
        <f>I93</f>
        <v>1783310</v>
      </c>
      <c r="J92" s="395">
        <f>J93</f>
        <v>1604107.1099999999</v>
      </c>
      <c r="K92" s="396">
        <f t="shared" si="7"/>
        <v>89.951108332258542</v>
      </c>
      <c r="L92" s="261"/>
      <c r="M92" s="262"/>
    </row>
    <row r="93" spans="1:13" s="155" customFormat="1" x14ac:dyDescent="0.25">
      <c r="A93" s="492"/>
      <c r="B93" s="387" t="s">
        <v>621</v>
      </c>
      <c r="C93" s="388"/>
      <c r="D93" s="388"/>
      <c r="E93" s="389">
        <f>E90</f>
        <v>608700</v>
      </c>
      <c r="F93" s="389">
        <f>F90</f>
        <v>608509.43999999994</v>
      </c>
      <c r="G93" s="390">
        <f t="shared" si="6"/>
        <v>99.968693937900426</v>
      </c>
      <c r="H93" s="391"/>
      <c r="I93" s="389">
        <f>I90</f>
        <v>1783310</v>
      </c>
      <c r="J93" s="389">
        <f>J90</f>
        <v>1604107.1099999999</v>
      </c>
      <c r="K93" s="390">
        <f t="shared" si="7"/>
        <v>89.951108332258542</v>
      </c>
      <c r="L93" s="391"/>
      <c r="M93" s="388"/>
    </row>
    <row r="94" spans="1:13" s="155" customFormat="1" ht="30" x14ac:dyDescent="0.25">
      <c r="A94" s="492"/>
      <c r="B94" s="387" t="s">
        <v>622</v>
      </c>
      <c r="C94" s="388"/>
      <c r="D94" s="388"/>
      <c r="E94" s="389"/>
      <c r="F94" s="389"/>
      <c r="G94" s="390"/>
      <c r="H94" s="391"/>
      <c r="I94" s="389">
        <v>800000</v>
      </c>
      <c r="J94" s="389">
        <v>622722.01</v>
      </c>
      <c r="K94" s="390">
        <f t="shared" si="7"/>
        <v>77.840251250000009</v>
      </c>
      <c r="L94" s="391"/>
      <c r="M94" s="388"/>
    </row>
    <row r="95" spans="1:13" x14ac:dyDescent="0.25">
      <c r="A95" s="564" t="s">
        <v>62</v>
      </c>
      <c r="B95" s="564"/>
      <c r="C95" s="564"/>
      <c r="D95" s="564"/>
      <c r="E95" s="564"/>
      <c r="F95" s="564"/>
      <c r="G95" s="564"/>
      <c r="H95" s="564"/>
      <c r="I95" s="564"/>
      <c r="J95" s="564"/>
      <c r="K95" s="564"/>
      <c r="L95" s="564"/>
      <c r="M95" s="564"/>
    </row>
    <row r="96" spans="1:13" ht="45" x14ac:dyDescent="0.25">
      <c r="A96" s="492">
        <v>11</v>
      </c>
      <c r="B96" s="384" t="s">
        <v>63</v>
      </c>
      <c r="C96" s="262" t="s">
        <v>14</v>
      </c>
      <c r="D96" s="262" t="s">
        <v>16</v>
      </c>
      <c r="E96" s="385">
        <f>E97</f>
        <v>324613</v>
      </c>
      <c r="F96" s="385">
        <f>F97</f>
        <v>324573.84000000003</v>
      </c>
      <c r="G96" s="386">
        <f t="shared" ref="G96:G118" si="9">F96/E96*100</f>
        <v>99.987936404272176</v>
      </c>
      <c r="H96" s="261">
        <v>100</v>
      </c>
      <c r="I96" s="385">
        <f>I97</f>
        <v>1460308.2</v>
      </c>
      <c r="J96" s="385">
        <f>J97</f>
        <v>1261776.56</v>
      </c>
      <c r="K96" s="386">
        <f t="shared" si="7"/>
        <v>86.40481235399487</v>
      </c>
      <c r="L96" s="261">
        <v>100</v>
      </c>
      <c r="M96" s="384"/>
    </row>
    <row r="97" spans="1:13" x14ac:dyDescent="0.25">
      <c r="A97" s="492"/>
      <c r="B97" s="387" t="s">
        <v>13</v>
      </c>
      <c r="C97" s="388"/>
      <c r="D97" s="388"/>
      <c r="E97" s="389">
        <v>324613</v>
      </c>
      <c r="F97" s="389">
        <v>324573.84000000003</v>
      </c>
      <c r="G97" s="390">
        <f t="shared" si="9"/>
        <v>99.987936404272176</v>
      </c>
      <c r="H97" s="391"/>
      <c r="I97" s="389">
        <f>E97+'2016'!E48+'2017'!E62+'2018'!E89</f>
        <v>1460308.2</v>
      </c>
      <c r="J97" s="389">
        <f>F97+'2016'!F48+'2017'!F62+'2018'!F89</f>
        <v>1261776.56</v>
      </c>
      <c r="K97" s="390">
        <f t="shared" si="7"/>
        <v>86.40481235399487</v>
      </c>
      <c r="L97" s="391"/>
      <c r="M97" s="388"/>
    </row>
    <row r="98" spans="1:13" s="155" customFormat="1" ht="90" x14ac:dyDescent="0.25">
      <c r="A98" s="492">
        <v>12</v>
      </c>
      <c r="B98" s="384" t="s">
        <v>65</v>
      </c>
      <c r="C98" s="262" t="s">
        <v>14</v>
      </c>
      <c r="D98" s="480" t="s">
        <v>362</v>
      </c>
      <c r="E98" s="385">
        <f>E99</f>
        <v>77700</v>
      </c>
      <c r="F98" s="385">
        <f>F99</f>
        <v>73517.66</v>
      </c>
      <c r="G98" s="390">
        <f t="shared" si="9"/>
        <v>94.617323037323047</v>
      </c>
      <c r="H98" s="481">
        <v>100</v>
      </c>
      <c r="I98" s="385">
        <f>I99</f>
        <v>876300</v>
      </c>
      <c r="J98" s="385">
        <f>J99</f>
        <v>678204.65</v>
      </c>
      <c r="K98" s="386">
        <f t="shared" si="7"/>
        <v>77.394117311423031</v>
      </c>
      <c r="L98" s="481">
        <v>91.6</v>
      </c>
      <c r="M98" s="384" t="s">
        <v>624</v>
      </c>
    </row>
    <row r="99" spans="1:13" s="155" customFormat="1" x14ac:dyDescent="0.25">
      <c r="A99" s="492"/>
      <c r="B99" s="387" t="s">
        <v>13</v>
      </c>
      <c r="C99" s="262"/>
      <c r="D99" s="262"/>
      <c r="E99" s="389">
        <v>77700</v>
      </c>
      <c r="F99" s="389">
        <v>73517.66</v>
      </c>
      <c r="G99" s="390">
        <f t="shared" si="9"/>
        <v>94.617323037323047</v>
      </c>
      <c r="H99" s="261"/>
      <c r="I99" s="389">
        <f>E99+'2016'!E53+'2017'!E67</f>
        <v>876300</v>
      </c>
      <c r="J99" s="389">
        <f>F99+'2016'!F53+'2017'!F67</f>
        <v>678204.65</v>
      </c>
      <c r="K99" s="390">
        <f t="shared" si="7"/>
        <v>77.394117311423031</v>
      </c>
      <c r="L99" s="261"/>
      <c r="M99" s="262"/>
    </row>
    <row r="100" spans="1:13" s="155" customFormat="1" x14ac:dyDescent="0.25">
      <c r="A100" s="492"/>
      <c r="B100" s="394" t="s">
        <v>54</v>
      </c>
      <c r="C100" s="262"/>
      <c r="D100" s="262"/>
      <c r="E100" s="395">
        <f>E101</f>
        <v>402313</v>
      </c>
      <c r="F100" s="395">
        <f>F101</f>
        <v>398091.5</v>
      </c>
      <c r="G100" s="396">
        <f t="shared" si="9"/>
        <v>98.950692619925292</v>
      </c>
      <c r="H100" s="261"/>
      <c r="I100" s="395">
        <f>I101</f>
        <v>2336608.2000000002</v>
      </c>
      <c r="J100" s="395">
        <f>J101</f>
        <v>1939981.21</v>
      </c>
      <c r="K100" s="396">
        <f t="shared" si="7"/>
        <v>83.025524347642005</v>
      </c>
      <c r="L100" s="261"/>
      <c r="M100" s="262"/>
    </row>
    <row r="101" spans="1:13" s="155" customFormat="1" x14ac:dyDescent="0.25">
      <c r="A101" s="492"/>
      <c r="B101" s="387" t="s">
        <v>13</v>
      </c>
      <c r="C101" s="262"/>
      <c r="D101" s="262"/>
      <c r="E101" s="389">
        <f>E99+E97</f>
        <v>402313</v>
      </c>
      <c r="F101" s="389">
        <f>F99+F97</f>
        <v>398091.5</v>
      </c>
      <c r="G101" s="390">
        <f t="shared" si="9"/>
        <v>98.950692619925292</v>
      </c>
      <c r="H101" s="261"/>
      <c r="I101" s="389">
        <f>I99+I97</f>
        <v>2336608.2000000002</v>
      </c>
      <c r="J101" s="389">
        <f>J99+J97</f>
        <v>1939981.21</v>
      </c>
      <c r="K101" s="390">
        <f t="shared" si="7"/>
        <v>83.025524347642005</v>
      </c>
      <c r="L101" s="261"/>
      <c r="M101" s="262"/>
    </row>
    <row r="102" spans="1:13" x14ac:dyDescent="0.25">
      <c r="A102" s="564" t="s">
        <v>64</v>
      </c>
      <c r="B102" s="564"/>
      <c r="C102" s="564"/>
      <c r="D102" s="564"/>
      <c r="E102" s="564"/>
      <c r="F102" s="564"/>
      <c r="G102" s="564"/>
      <c r="H102" s="564"/>
      <c r="I102" s="564"/>
      <c r="J102" s="564"/>
      <c r="K102" s="564"/>
      <c r="L102" s="564"/>
      <c r="M102" s="564"/>
    </row>
    <row r="103" spans="1:13" ht="45" x14ac:dyDescent="0.25">
      <c r="A103" s="492">
        <v>13</v>
      </c>
      <c r="B103" s="384" t="s">
        <v>66</v>
      </c>
      <c r="C103" s="262" t="s">
        <v>14</v>
      </c>
      <c r="D103" s="262" t="s">
        <v>16</v>
      </c>
      <c r="E103" s="385">
        <f>E104</f>
        <v>24000</v>
      </c>
      <c r="F103" s="385">
        <f>F104</f>
        <v>24790.15</v>
      </c>
      <c r="G103" s="386">
        <f t="shared" si="9"/>
        <v>103.29229166666667</v>
      </c>
      <c r="H103" s="261">
        <v>100</v>
      </c>
      <c r="I103" s="385">
        <f>I104</f>
        <v>91000</v>
      </c>
      <c r="J103" s="385">
        <f>J104</f>
        <v>93600.260000000009</v>
      </c>
      <c r="K103" s="386">
        <f t="shared" ref="K103:K106" si="10">J103/I103*100</f>
        <v>102.85742857142858</v>
      </c>
      <c r="L103" s="261">
        <v>100</v>
      </c>
      <c r="M103" s="262"/>
    </row>
    <row r="104" spans="1:13" s="155" customFormat="1" x14ac:dyDescent="0.25">
      <c r="A104" s="492"/>
      <c r="B104" s="387" t="s">
        <v>53</v>
      </c>
      <c r="C104" s="388"/>
      <c r="D104" s="388"/>
      <c r="E104" s="389">
        <v>24000</v>
      </c>
      <c r="F104" s="389">
        <v>24790.15</v>
      </c>
      <c r="G104" s="390">
        <f t="shared" si="9"/>
        <v>103.29229166666667</v>
      </c>
      <c r="H104" s="391"/>
      <c r="I104" s="389">
        <f>E104+'2016'!E58+'2017'!E72+'2018'!E94</f>
        <v>91000</v>
      </c>
      <c r="J104" s="389">
        <f>F104+'2016'!F58+'2017'!F72+'2018'!F94</f>
        <v>93600.260000000009</v>
      </c>
      <c r="K104" s="390">
        <f t="shared" si="10"/>
        <v>102.85742857142858</v>
      </c>
      <c r="L104" s="391"/>
      <c r="M104" s="388"/>
    </row>
    <row r="105" spans="1:13" x14ac:dyDescent="0.25">
      <c r="A105" s="492"/>
      <c r="B105" s="394" t="s">
        <v>54</v>
      </c>
      <c r="C105" s="262"/>
      <c r="D105" s="262"/>
      <c r="E105" s="395">
        <f>E103</f>
        <v>24000</v>
      </c>
      <c r="F105" s="395">
        <f>F103</f>
        <v>24790.15</v>
      </c>
      <c r="G105" s="396">
        <f t="shared" si="9"/>
        <v>103.29229166666667</v>
      </c>
      <c r="H105" s="261"/>
      <c r="I105" s="395">
        <f>I106</f>
        <v>91000</v>
      </c>
      <c r="J105" s="395">
        <f>J106</f>
        <v>93600.260000000009</v>
      </c>
      <c r="K105" s="396">
        <f t="shared" si="10"/>
        <v>102.85742857142858</v>
      </c>
      <c r="L105" s="261"/>
      <c r="M105" s="262"/>
    </row>
    <row r="106" spans="1:13" s="155" customFormat="1" x14ac:dyDescent="0.25">
      <c r="A106" s="492"/>
      <c r="B106" s="387" t="s">
        <v>53</v>
      </c>
      <c r="C106" s="388"/>
      <c r="D106" s="388"/>
      <c r="E106" s="389">
        <f>E104</f>
        <v>24000</v>
      </c>
      <c r="F106" s="389">
        <f>F104</f>
        <v>24790.15</v>
      </c>
      <c r="G106" s="390">
        <f t="shared" si="9"/>
        <v>103.29229166666667</v>
      </c>
      <c r="H106" s="391"/>
      <c r="I106" s="389">
        <f>I104</f>
        <v>91000</v>
      </c>
      <c r="J106" s="389">
        <f>J104</f>
        <v>93600.260000000009</v>
      </c>
      <c r="K106" s="390">
        <f t="shared" si="10"/>
        <v>102.85742857142858</v>
      </c>
      <c r="L106" s="391"/>
      <c r="M106" s="388"/>
    </row>
    <row r="107" spans="1:13" x14ac:dyDescent="0.25">
      <c r="A107" s="564" t="s">
        <v>67</v>
      </c>
      <c r="B107" s="564"/>
      <c r="C107" s="564"/>
      <c r="D107" s="564"/>
      <c r="E107" s="564"/>
      <c r="F107" s="564"/>
      <c r="G107" s="564"/>
      <c r="H107" s="564"/>
      <c r="I107" s="564"/>
      <c r="J107" s="564"/>
      <c r="K107" s="564"/>
      <c r="L107" s="564"/>
      <c r="M107" s="564"/>
    </row>
    <row r="108" spans="1:13" ht="60" x14ac:dyDescent="0.25">
      <c r="A108" s="492">
        <v>14</v>
      </c>
      <c r="B108" s="384" t="s">
        <v>523</v>
      </c>
      <c r="C108" s="262" t="s">
        <v>14</v>
      </c>
      <c r="D108" s="262">
        <v>2017</v>
      </c>
      <c r="E108" s="262"/>
      <c r="F108" s="262"/>
      <c r="G108" s="262"/>
      <c r="H108" s="262"/>
      <c r="I108" s="385">
        <f>I109</f>
        <v>11500</v>
      </c>
      <c r="J108" s="385">
        <f>J109</f>
        <v>11500</v>
      </c>
      <c r="K108" s="386">
        <f t="shared" ref="K108:K165" si="11">J108/I108*100</f>
        <v>100</v>
      </c>
      <c r="L108" s="262">
        <v>100</v>
      </c>
      <c r="M108" s="262"/>
    </row>
    <row r="109" spans="1:13" x14ac:dyDescent="0.25">
      <c r="A109" s="492"/>
      <c r="B109" s="387" t="s">
        <v>13</v>
      </c>
      <c r="C109" s="262"/>
      <c r="D109" s="262"/>
      <c r="E109" s="262"/>
      <c r="F109" s="262"/>
      <c r="G109" s="262"/>
      <c r="H109" s="262"/>
      <c r="I109" s="389">
        <f>'2017'!E77</f>
        <v>11500</v>
      </c>
      <c r="J109" s="389">
        <f>'2017'!F77</f>
        <v>11500</v>
      </c>
      <c r="K109" s="390">
        <f t="shared" si="11"/>
        <v>100</v>
      </c>
      <c r="L109" s="262"/>
      <c r="M109" s="262"/>
    </row>
    <row r="110" spans="1:13" ht="105" x14ac:dyDescent="0.25">
      <c r="A110" s="492">
        <v>15</v>
      </c>
      <c r="B110" s="384" t="s">
        <v>68</v>
      </c>
      <c r="C110" s="262" t="s">
        <v>14</v>
      </c>
      <c r="D110" s="262" t="s">
        <v>16</v>
      </c>
      <c r="E110" s="385">
        <f>E111</f>
        <v>120593</v>
      </c>
      <c r="F110" s="385">
        <f>F111</f>
        <v>120593</v>
      </c>
      <c r="G110" s="386">
        <f t="shared" si="9"/>
        <v>100</v>
      </c>
      <c r="H110" s="261">
        <v>100</v>
      </c>
      <c r="I110" s="385">
        <f>I111</f>
        <v>833903</v>
      </c>
      <c r="J110" s="385">
        <f>J111</f>
        <v>662316.58000000007</v>
      </c>
      <c r="K110" s="386">
        <f t="shared" si="11"/>
        <v>79.423695561714027</v>
      </c>
      <c r="L110" s="261">
        <v>100</v>
      </c>
      <c r="M110" s="262"/>
    </row>
    <row r="111" spans="1:13" s="155" customFormat="1" x14ac:dyDescent="0.25">
      <c r="A111" s="492"/>
      <c r="B111" s="387" t="s">
        <v>13</v>
      </c>
      <c r="C111" s="388"/>
      <c r="D111" s="388"/>
      <c r="E111" s="389">
        <v>120593</v>
      </c>
      <c r="F111" s="389">
        <v>120593</v>
      </c>
      <c r="G111" s="390">
        <f t="shared" si="9"/>
        <v>100</v>
      </c>
      <c r="H111" s="391"/>
      <c r="I111" s="389">
        <f>E111+'2016'!E63+'2017'!E79+'2018'!E99</f>
        <v>833903</v>
      </c>
      <c r="J111" s="389">
        <f>F111+'2016'!F63+'2017'!F79+'2018'!F99</f>
        <v>662316.58000000007</v>
      </c>
      <c r="K111" s="390">
        <f t="shared" si="11"/>
        <v>79.423695561714027</v>
      </c>
      <c r="L111" s="391"/>
      <c r="M111" s="388"/>
    </row>
    <row r="112" spans="1:13" x14ac:dyDescent="0.25">
      <c r="A112" s="492"/>
      <c r="B112" s="394" t="s">
        <v>54</v>
      </c>
      <c r="C112" s="262"/>
      <c r="D112" s="262"/>
      <c r="E112" s="395">
        <f>E113</f>
        <v>120593</v>
      </c>
      <c r="F112" s="395">
        <f>F113</f>
        <v>120593</v>
      </c>
      <c r="G112" s="396">
        <f t="shared" si="9"/>
        <v>100</v>
      </c>
      <c r="H112" s="261"/>
      <c r="I112" s="395">
        <f>I113</f>
        <v>845403</v>
      </c>
      <c r="J112" s="395">
        <f>J113</f>
        <v>673816.58000000007</v>
      </c>
      <c r="K112" s="396">
        <f t="shared" si="11"/>
        <v>79.703594617005152</v>
      </c>
      <c r="L112" s="261"/>
      <c r="M112" s="262"/>
    </row>
    <row r="113" spans="1:13" s="155" customFormat="1" x14ac:dyDescent="0.25">
      <c r="A113" s="492"/>
      <c r="B113" s="387" t="s">
        <v>13</v>
      </c>
      <c r="C113" s="388"/>
      <c r="D113" s="388"/>
      <c r="E113" s="389">
        <f>E111+E109</f>
        <v>120593</v>
      </c>
      <c r="F113" s="389">
        <f>F111+F109</f>
        <v>120593</v>
      </c>
      <c r="G113" s="390">
        <f t="shared" si="9"/>
        <v>100</v>
      </c>
      <c r="H113" s="391"/>
      <c r="I113" s="389">
        <f>I111+I109</f>
        <v>845403</v>
      </c>
      <c r="J113" s="389">
        <f>J111+J109</f>
        <v>673816.58000000007</v>
      </c>
      <c r="K113" s="390">
        <f t="shared" si="11"/>
        <v>79.703594617005152</v>
      </c>
      <c r="L113" s="391"/>
      <c r="M113" s="388"/>
    </row>
    <row r="114" spans="1:13" x14ac:dyDescent="0.25">
      <c r="A114" s="564" t="s">
        <v>69</v>
      </c>
      <c r="B114" s="564"/>
      <c r="C114" s="564"/>
      <c r="D114" s="564"/>
      <c r="E114" s="564"/>
      <c r="F114" s="564"/>
      <c r="G114" s="564"/>
      <c r="H114" s="564"/>
      <c r="I114" s="564"/>
      <c r="J114" s="564"/>
      <c r="K114" s="564"/>
      <c r="L114" s="564"/>
      <c r="M114" s="564"/>
    </row>
    <row r="115" spans="1:13" ht="60" x14ac:dyDescent="0.25">
      <c r="A115" s="492">
        <v>16</v>
      </c>
      <c r="B115" s="384" t="s">
        <v>70</v>
      </c>
      <c r="C115" s="262" t="s">
        <v>14</v>
      </c>
      <c r="D115" s="262" t="s">
        <v>16</v>
      </c>
      <c r="E115" s="385">
        <f>E116</f>
        <v>10000</v>
      </c>
      <c r="F115" s="385">
        <f>F116</f>
        <v>10000</v>
      </c>
      <c r="G115" s="386">
        <f t="shared" si="9"/>
        <v>100</v>
      </c>
      <c r="H115" s="261">
        <v>100</v>
      </c>
      <c r="I115" s="385">
        <f>I116</f>
        <v>37500</v>
      </c>
      <c r="J115" s="385">
        <f>J116</f>
        <v>37396.839999999997</v>
      </c>
      <c r="K115" s="386">
        <f t="shared" si="11"/>
        <v>99.724906666666655</v>
      </c>
      <c r="L115" s="261">
        <v>100</v>
      </c>
      <c r="M115" s="262"/>
    </row>
    <row r="116" spans="1:13" s="155" customFormat="1" x14ac:dyDescent="0.25">
      <c r="A116" s="492"/>
      <c r="B116" s="387" t="s">
        <v>13</v>
      </c>
      <c r="C116" s="388"/>
      <c r="D116" s="388"/>
      <c r="E116" s="389">
        <v>10000</v>
      </c>
      <c r="F116" s="389">
        <v>10000</v>
      </c>
      <c r="G116" s="390">
        <f t="shared" si="9"/>
        <v>100</v>
      </c>
      <c r="H116" s="391"/>
      <c r="I116" s="389">
        <f>E116+'2016'!E68+'2017'!E84+'2018'!E104</f>
        <v>37500</v>
      </c>
      <c r="J116" s="389">
        <f>F116+'2016'!F68+'2017'!F84+'2018'!F104</f>
        <v>37396.839999999997</v>
      </c>
      <c r="K116" s="390">
        <f t="shared" si="11"/>
        <v>99.724906666666655</v>
      </c>
      <c r="L116" s="391"/>
      <c r="M116" s="388"/>
    </row>
    <row r="117" spans="1:13" ht="45" x14ac:dyDescent="0.25">
      <c r="A117" s="492">
        <v>17</v>
      </c>
      <c r="B117" s="384" t="s">
        <v>71</v>
      </c>
      <c r="C117" s="262" t="s">
        <v>14</v>
      </c>
      <c r="D117" s="262" t="s">
        <v>16</v>
      </c>
      <c r="E117" s="385">
        <f>E118</f>
        <v>11050</v>
      </c>
      <c r="F117" s="385">
        <f>F118</f>
        <v>10961.73</v>
      </c>
      <c r="G117" s="386">
        <f t="shared" si="9"/>
        <v>99.201176470588223</v>
      </c>
      <c r="H117" s="261">
        <v>100</v>
      </c>
      <c r="I117" s="385">
        <f>I118</f>
        <v>46151.9</v>
      </c>
      <c r="J117" s="385">
        <f>J118</f>
        <v>45981.65</v>
      </c>
      <c r="K117" s="386">
        <f t="shared" si="11"/>
        <v>99.631109445114944</v>
      </c>
      <c r="L117" s="261">
        <v>100</v>
      </c>
      <c r="M117" s="262"/>
    </row>
    <row r="118" spans="1:13" s="155" customFormat="1" x14ac:dyDescent="0.25">
      <c r="A118" s="492"/>
      <c r="B118" s="387" t="s">
        <v>13</v>
      </c>
      <c r="C118" s="388"/>
      <c r="D118" s="388"/>
      <c r="E118" s="389">
        <v>11050</v>
      </c>
      <c r="F118" s="389">
        <v>10961.73</v>
      </c>
      <c r="G118" s="390">
        <f t="shared" si="9"/>
        <v>99.201176470588223</v>
      </c>
      <c r="H118" s="391"/>
      <c r="I118" s="389">
        <f>E118+'2016'!E70+'2017'!E86+'2018'!E106</f>
        <v>46151.9</v>
      </c>
      <c r="J118" s="389">
        <f>F118+'2016'!F70+'2017'!F86+'2018'!F106</f>
        <v>45981.65</v>
      </c>
      <c r="K118" s="390">
        <f t="shared" si="11"/>
        <v>99.631109445114944</v>
      </c>
      <c r="L118" s="391"/>
      <c r="M118" s="388"/>
    </row>
    <row r="119" spans="1:13" ht="180" x14ac:dyDescent="0.25">
      <c r="A119" s="492">
        <v>18</v>
      </c>
      <c r="B119" s="384" t="s">
        <v>72</v>
      </c>
      <c r="C119" s="262" t="s">
        <v>14</v>
      </c>
      <c r="D119" s="262" t="s">
        <v>16</v>
      </c>
      <c r="E119" s="385">
        <f>E120</f>
        <v>10000</v>
      </c>
      <c r="F119" s="385">
        <f>F120</f>
        <v>9868.5300000000007</v>
      </c>
      <c r="G119" s="386">
        <f>F119/E119*100</f>
        <v>98.685300000000012</v>
      </c>
      <c r="H119" s="261">
        <v>100</v>
      </c>
      <c r="I119" s="385">
        <f>I120</f>
        <v>43500</v>
      </c>
      <c r="J119" s="385">
        <f>J120</f>
        <v>42478.66</v>
      </c>
      <c r="K119" s="386">
        <f t="shared" si="11"/>
        <v>97.652091954023007</v>
      </c>
      <c r="L119" s="261">
        <v>100</v>
      </c>
      <c r="M119" s="262"/>
    </row>
    <row r="120" spans="1:13" s="155" customFormat="1" x14ac:dyDescent="0.25">
      <c r="A120" s="492"/>
      <c r="B120" s="387" t="s">
        <v>13</v>
      </c>
      <c r="C120" s="388"/>
      <c r="D120" s="388"/>
      <c r="E120" s="389">
        <v>10000</v>
      </c>
      <c r="F120" s="389">
        <v>9868.5300000000007</v>
      </c>
      <c r="G120" s="390">
        <f>F120/E120*100</f>
        <v>98.685300000000012</v>
      </c>
      <c r="H120" s="391"/>
      <c r="I120" s="389">
        <f>E120+'2016'!E72+'2017'!E88+'2018'!E108</f>
        <v>43500</v>
      </c>
      <c r="J120" s="389">
        <f>F120+'2016'!F72+'2017'!F88+'2018'!F108</f>
        <v>42478.66</v>
      </c>
      <c r="K120" s="390">
        <f t="shared" si="11"/>
        <v>97.652091954023007</v>
      </c>
      <c r="L120" s="391"/>
      <c r="M120" s="388"/>
    </row>
    <row r="121" spans="1:13" x14ac:dyDescent="0.25">
      <c r="A121" s="492"/>
      <c r="B121" s="394" t="s">
        <v>54</v>
      </c>
      <c r="C121" s="262"/>
      <c r="D121" s="262"/>
      <c r="E121" s="395">
        <f>E115+E117+E119</f>
        <v>31050</v>
      </c>
      <c r="F121" s="395">
        <f>F115+F117+F119</f>
        <v>30830.260000000002</v>
      </c>
      <c r="G121" s="396">
        <f>F121/E121*100</f>
        <v>99.292302737520131</v>
      </c>
      <c r="H121" s="261"/>
      <c r="I121" s="395">
        <f>I115+I117+I119</f>
        <v>127151.9</v>
      </c>
      <c r="J121" s="395">
        <f>J115+J117+J119</f>
        <v>125857.15</v>
      </c>
      <c r="K121" s="396">
        <f t="shared" si="11"/>
        <v>98.981729726413832</v>
      </c>
      <c r="L121" s="261"/>
      <c r="M121" s="262"/>
    </row>
    <row r="122" spans="1:13" s="155" customFormat="1" x14ac:dyDescent="0.25">
      <c r="A122" s="492"/>
      <c r="B122" s="387" t="s">
        <v>13</v>
      </c>
      <c r="C122" s="388"/>
      <c r="D122" s="388"/>
      <c r="E122" s="389">
        <f>E116+E118+E120</f>
        <v>31050</v>
      </c>
      <c r="F122" s="389">
        <f>F116+F118+F120</f>
        <v>30830.260000000002</v>
      </c>
      <c r="G122" s="390">
        <f>F122/E122*100</f>
        <v>99.292302737520131</v>
      </c>
      <c r="H122" s="391"/>
      <c r="I122" s="389">
        <f>I116+I118+I120</f>
        <v>127151.9</v>
      </c>
      <c r="J122" s="389">
        <f>J116+J118+J120</f>
        <v>125857.15</v>
      </c>
      <c r="K122" s="390">
        <f t="shared" si="11"/>
        <v>98.981729726413832</v>
      </c>
      <c r="L122" s="391"/>
      <c r="M122" s="388"/>
    </row>
    <row r="123" spans="1:13" x14ac:dyDescent="0.25">
      <c r="A123" s="564" t="s">
        <v>35</v>
      </c>
      <c r="B123" s="564"/>
      <c r="C123" s="564"/>
      <c r="D123" s="564"/>
      <c r="E123" s="564"/>
      <c r="F123" s="564"/>
      <c r="G123" s="564"/>
      <c r="H123" s="564"/>
      <c r="I123" s="564"/>
      <c r="J123" s="564"/>
      <c r="K123" s="564"/>
      <c r="L123" s="564"/>
      <c r="M123" s="564"/>
    </row>
    <row r="124" spans="1:13" ht="90" x14ac:dyDescent="0.25">
      <c r="A124" s="492">
        <v>19</v>
      </c>
      <c r="B124" s="384" t="s">
        <v>448</v>
      </c>
      <c r="C124" s="383" t="s">
        <v>14</v>
      </c>
      <c r="D124" s="262">
        <v>2018</v>
      </c>
      <c r="E124" s="385"/>
      <c r="F124" s="385"/>
      <c r="G124" s="386"/>
      <c r="H124" s="261"/>
      <c r="I124" s="385">
        <f>I125</f>
        <v>23656</v>
      </c>
      <c r="J124" s="385">
        <f>J125</f>
        <v>23656</v>
      </c>
      <c r="K124" s="386">
        <f t="shared" si="11"/>
        <v>100</v>
      </c>
      <c r="L124" s="261">
        <v>100</v>
      </c>
      <c r="M124" s="262"/>
    </row>
    <row r="125" spans="1:13" x14ac:dyDescent="0.25">
      <c r="A125" s="492"/>
      <c r="B125" s="387" t="s">
        <v>13</v>
      </c>
      <c r="C125" s="262"/>
      <c r="D125" s="262"/>
      <c r="E125" s="389"/>
      <c r="F125" s="389"/>
      <c r="G125" s="390"/>
      <c r="H125" s="262"/>
      <c r="I125" s="389">
        <f>'2018'!E113</f>
        <v>23656</v>
      </c>
      <c r="J125" s="389">
        <f>'2018'!F113</f>
        <v>23656</v>
      </c>
      <c r="K125" s="390">
        <f t="shared" si="11"/>
        <v>100</v>
      </c>
      <c r="L125" s="262"/>
      <c r="M125" s="262"/>
    </row>
    <row r="126" spans="1:13" ht="45" x14ac:dyDescent="0.25">
      <c r="A126" s="492">
        <v>20</v>
      </c>
      <c r="B126" s="384" t="s">
        <v>46</v>
      </c>
      <c r="C126" s="383" t="s">
        <v>14</v>
      </c>
      <c r="D126" s="383" t="s">
        <v>44</v>
      </c>
      <c r="E126" s="385">
        <v>5000</v>
      </c>
      <c r="F126" s="385">
        <f>F127</f>
        <v>5000</v>
      </c>
      <c r="G126" s="386">
        <f t="shared" ref="G126:G143" si="12">F126/E126*100</f>
        <v>100</v>
      </c>
      <c r="H126" s="261">
        <v>100</v>
      </c>
      <c r="I126" s="385">
        <f>I127</f>
        <v>20000</v>
      </c>
      <c r="J126" s="385">
        <f>J127</f>
        <v>20000</v>
      </c>
      <c r="K126" s="386">
        <f t="shared" si="11"/>
        <v>100</v>
      </c>
      <c r="L126" s="261">
        <v>100</v>
      </c>
      <c r="M126" s="262"/>
    </row>
    <row r="127" spans="1:13" s="155" customFormat="1" x14ac:dyDescent="0.25">
      <c r="A127" s="492"/>
      <c r="B127" s="387" t="s">
        <v>13</v>
      </c>
      <c r="C127" s="388"/>
      <c r="D127" s="388"/>
      <c r="E127" s="389">
        <v>5000</v>
      </c>
      <c r="F127" s="389">
        <v>5000</v>
      </c>
      <c r="G127" s="390">
        <f t="shared" si="12"/>
        <v>100</v>
      </c>
      <c r="H127" s="391"/>
      <c r="I127" s="389">
        <f>E127+'2016'!E77+'2017'!E93+'2018'!E115</f>
        <v>20000</v>
      </c>
      <c r="J127" s="389">
        <f>F127+'2016'!F77+'2017'!F93+'2018'!F115</f>
        <v>20000</v>
      </c>
      <c r="K127" s="390">
        <f t="shared" si="11"/>
        <v>100</v>
      </c>
      <c r="L127" s="391"/>
      <c r="M127" s="388"/>
    </row>
    <row r="128" spans="1:13" s="155" customFormat="1" ht="45" x14ac:dyDescent="0.25">
      <c r="A128" s="492">
        <v>21</v>
      </c>
      <c r="B128" s="384" t="s">
        <v>339</v>
      </c>
      <c r="C128" s="383" t="s">
        <v>14</v>
      </c>
      <c r="D128" s="262">
        <v>2016</v>
      </c>
      <c r="E128" s="389"/>
      <c r="F128" s="389"/>
      <c r="G128" s="390"/>
      <c r="H128" s="391"/>
      <c r="I128" s="385">
        <f>I129</f>
        <v>25000</v>
      </c>
      <c r="J128" s="385">
        <f>J129</f>
        <v>25000</v>
      </c>
      <c r="K128" s="386">
        <f t="shared" si="11"/>
        <v>100</v>
      </c>
      <c r="L128" s="261">
        <v>100</v>
      </c>
      <c r="M128" s="388"/>
    </row>
    <row r="129" spans="1:13" s="155" customFormat="1" x14ac:dyDescent="0.25">
      <c r="A129" s="492"/>
      <c r="B129" s="387" t="s">
        <v>13</v>
      </c>
      <c r="C129" s="388"/>
      <c r="D129" s="388"/>
      <c r="E129" s="389"/>
      <c r="F129" s="389"/>
      <c r="G129" s="390"/>
      <c r="H129" s="391"/>
      <c r="I129" s="389">
        <f>'2016'!E79</f>
        <v>25000</v>
      </c>
      <c r="J129" s="389">
        <f>'2016'!F79</f>
        <v>25000</v>
      </c>
      <c r="K129" s="390">
        <f t="shared" si="11"/>
        <v>100</v>
      </c>
      <c r="L129" s="391"/>
      <c r="M129" s="388"/>
    </row>
    <row r="130" spans="1:13" s="155" customFormat="1" ht="30" x14ac:dyDescent="0.25">
      <c r="A130" s="492">
        <v>22</v>
      </c>
      <c r="B130" s="384" t="s">
        <v>524</v>
      </c>
      <c r="C130" s="383" t="s">
        <v>14</v>
      </c>
      <c r="D130" s="262">
        <v>2017.2019</v>
      </c>
      <c r="E130" s="385">
        <f>E131</f>
        <v>10000</v>
      </c>
      <c r="F130" s="385">
        <f>F131</f>
        <v>10000</v>
      </c>
      <c r="G130" s="386">
        <f t="shared" si="12"/>
        <v>100</v>
      </c>
      <c r="H130" s="512">
        <v>100</v>
      </c>
      <c r="I130" s="385">
        <f t="shared" ref="I130:J130" si="13">I131</f>
        <v>20000</v>
      </c>
      <c r="J130" s="385">
        <f t="shared" si="13"/>
        <v>20000</v>
      </c>
      <c r="K130" s="386">
        <f t="shared" si="11"/>
        <v>100</v>
      </c>
      <c r="L130" s="512">
        <v>100</v>
      </c>
      <c r="M130" s="388"/>
    </row>
    <row r="131" spans="1:13" s="155" customFormat="1" x14ac:dyDescent="0.25">
      <c r="A131" s="492"/>
      <c r="B131" s="387" t="s">
        <v>13</v>
      </c>
      <c r="C131" s="388"/>
      <c r="D131" s="388"/>
      <c r="E131" s="389">
        <v>10000</v>
      </c>
      <c r="F131" s="389">
        <v>10000</v>
      </c>
      <c r="G131" s="390">
        <f t="shared" si="12"/>
        <v>100</v>
      </c>
      <c r="H131" s="391"/>
      <c r="I131" s="389">
        <f>E131+'2017'!E95</f>
        <v>20000</v>
      </c>
      <c r="J131" s="389">
        <f>F131+'2017'!F95</f>
        <v>20000</v>
      </c>
      <c r="K131" s="390">
        <f t="shared" si="11"/>
        <v>100</v>
      </c>
      <c r="L131" s="391"/>
      <c r="M131" s="388"/>
    </row>
    <row r="132" spans="1:13" s="155" customFormat="1" ht="60" x14ac:dyDescent="0.25">
      <c r="A132" s="492">
        <v>23</v>
      </c>
      <c r="B132" s="384" t="s">
        <v>341</v>
      </c>
      <c r="C132" s="383" t="s">
        <v>14</v>
      </c>
      <c r="D132" s="262">
        <v>2016</v>
      </c>
      <c r="E132" s="389"/>
      <c r="F132" s="389"/>
      <c r="G132" s="390"/>
      <c r="H132" s="391"/>
      <c r="I132" s="385">
        <f t="shared" ref="I132" si="14">I133</f>
        <v>11870</v>
      </c>
      <c r="J132" s="385">
        <f t="shared" ref="J132" si="15">J133</f>
        <v>11870</v>
      </c>
      <c r="K132" s="386">
        <f t="shared" si="11"/>
        <v>100</v>
      </c>
      <c r="L132" s="261">
        <v>100</v>
      </c>
      <c r="M132" s="388"/>
    </row>
    <row r="133" spans="1:13" s="155" customFormat="1" x14ac:dyDescent="0.25">
      <c r="A133" s="492"/>
      <c r="B133" s="387" t="s">
        <v>13</v>
      </c>
      <c r="C133" s="388"/>
      <c r="D133" s="388"/>
      <c r="E133" s="389"/>
      <c r="F133" s="389"/>
      <c r="G133" s="390"/>
      <c r="H133" s="391"/>
      <c r="I133" s="389">
        <f>'2016'!E81</f>
        <v>11870</v>
      </c>
      <c r="J133" s="389">
        <f>'2016'!F81</f>
        <v>11870</v>
      </c>
      <c r="K133" s="390">
        <f t="shared" si="11"/>
        <v>100</v>
      </c>
      <c r="L133" s="391"/>
      <c r="M133" s="388"/>
    </row>
    <row r="134" spans="1:13" s="155" customFormat="1" ht="60" x14ac:dyDescent="0.25">
      <c r="A134" s="492">
        <v>24</v>
      </c>
      <c r="B134" s="384" t="s">
        <v>576</v>
      </c>
      <c r="C134" s="383" t="s">
        <v>14</v>
      </c>
      <c r="D134" s="262" t="s">
        <v>577</v>
      </c>
      <c r="E134" s="385">
        <f>E135</f>
        <v>55500</v>
      </c>
      <c r="F134" s="385">
        <f>F135</f>
        <v>55500</v>
      </c>
      <c r="G134" s="386">
        <f t="shared" si="12"/>
        <v>100</v>
      </c>
      <c r="H134" s="512">
        <v>100</v>
      </c>
      <c r="I134" s="385">
        <f>I135</f>
        <v>55500</v>
      </c>
      <c r="J134" s="385">
        <f>J135</f>
        <v>55500</v>
      </c>
      <c r="K134" s="386">
        <f t="shared" si="11"/>
        <v>100</v>
      </c>
      <c r="L134" s="512">
        <v>100</v>
      </c>
      <c r="M134" s="388"/>
    </row>
    <row r="135" spans="1:13" s="155" customFormat="1" x14ac:dyDescent="0.25">
      <c r="A135" s="492"/>
      <c r="B135" s="387" t="s">
        <v>13</v>
      </c>
      <c r="C135" s="388"/>
      <c r="D135" s="388"/>
      <c r="E135" s="389">
        <v>55500</v>
      </c>
      <c r="F135" s="389">
        <v>55500</v>
      </c>
      <c r="G135" s="390">
        <f t="shared" si="12"/>
        <v>100</v>
      </c>
      <c r="H135" s="391"/>
      <c r="I135" s="389">
        <f>E135</f>
        <v>55500</v>
      </c>
      <c r="J135" s="389">
        <f>F135</f>
        <v>55500</v>
      </c>
      <c r="K135" s="390">
        <f t="shared" si="11"/>
        <v>100</v>
      </c>
      <c r="L135" s="391"/>
      <c r="M135" s="388"/>
    </row>
    <row r="136" spans="1:13" ht="60" x14ac:dyDescent="0.25">
      <c r="A136" s="492">
        <v>25</v>
      </c>
      <c r="B136" s="384" t="s">
        <v>275</v>
      </c>
      <c r="C136" s="383" t="s">
        <v>14</v>
      </c>
      <c r="D136" s="383" t="s">
        <v>274</v>
      </c>
      <c r="E136" s="385">
        <f>E137</f>
        <v>47539</v>
      </c>
      <c r="F136" s="385">
        <f>F137</f>
        <v>47539</v>
      </c>
      <c r="G136" s="386">
        <f t="shared" si="12"/>
        <v>100</v>
      </c>
      <c r="H136" s="261">
        <v>100</v>
      </c>
      <c r="I136" s="385">
        <f>I137</f>
        <v>143539</v>
      </c>
      <c r="J136" s="385">
        <f>J137</f>
        <v>143539</v>
      </c>
      <c r="K136" s="386">
        <f t="shared" si="11"/>
        <v>100</v>
      </c>
      <c r="L136" s="512">
        <v>100</v>
      </c>
      <c r="M136" s="262"/>
    </row>
    <row r="137" spans="1:13" s="155" customFormat="1" x14ac:dyDescent="0.25">
      <c r="A137" s="492"/>
      <c r="B137" s="387" t="s">
        <v>13</v>
      </c>
      <c r="C137" s="388"/>
      <c r="D137" s="388"/>
      <c r="E137" s="389">
        <v>47539</v>
      </c>
      <c r="F137" s="389">
        <v>47539</v>
      </c>
      <c r="G137" s="390">
        <f t="shared" si="12"/>
        <v>100</v>
      </c>
      <c r="H137" s="391"/>
      <c r="I137" s="389">
        <f>E137+'2017'!E97+'2018'!E117</f>
        <v>143539</v>
      </c>
      <c r="J137" s="389">
        <f>F137+'2017'!F97+'2018'!F117</f>
        <v>143539</v>
      </c>
      <c r="K137" s="390">
        <f t="shared" si="11"/>
        <v>100</v>
      </c>
      <c r="L137" s="391"/>
      <c r="M137" s="388"/>
    </row>
    <row r="138" spans="1:13" ht="75" x14ac:dyDescent="0.25">
      <c r="A138" s="492">
        <v>26</v>
      </c>
      <c r="B138" s="384" t="s">
        <v>276</v>
      </c>
      <c r="C138" s="383" t="s">
        <v>14</v>
      </c>
      <c r="D138" s="383" t="s">
        <v>578</v>
      </c>
      <c r="E138" s="385"/>
      <c r="F138" s="385"/>
      <c r="G138" s="386"/>
      <c r="H138" s="261"/>
      <c r="I138" s="385">
        <f>I139</f>
        <v>67200</v>
      </c>
      <c r="J138" s="385">
        <f>J139</f>
        <v>67200</v>
      </c>
      <c r="K138" s="386">
        <f t="shared" si="11"/>
        <v>100</v>
      </c>
      <c r="L138" s="261">
        <v>100</v>
      </c>
      <c r="M138" s="262"/>
    </row>
    <row r="139" spans="1:13" s="155" customFormat="1" x14ac:dyDescent="0.25">
      <c r="A139" s="492"/>
      <c r="B139" s="387" t="s">
        <v>13</v>
      </c>
      <c r="C139" s="388"/>
      <c r="D139" s="388"/>
      <c r="E139" s="389"/>
      <c r="F139" s="389"/>
      <c r="G139" s="390"/>
      <c r="H139" s="391"/>
      <c r="I139" s="389">
        <f>'2017'!E99+'2018'!E119</f>
        <v>67200</v>
      </c>
      <c r="J139" s="389">
        <f>'2017'!F99+'2018'!F119</f>
        <v>67200</v>
      </c>
      <c r="K139" s="390">
        <f t="shared" si="11"/>
        <v>100</v>
      </c>
      <c r="L139" s="391"/>
      <c r="M139" s="388"/>
    </row>
    <row r="140" spans="1:13" ht="30" x14ac:dyDescent="0.25">
      <c r="A140" s="492">
        <v>27</v>
      </c>
      <c r="B140" s="384" t="s">
        <v>47</v>
      </c>
      <c r="C140" s="383" t="s">
        <v>48</v>
      </c>
      <c r="D140" s="383" t="s">
        <v>15</v>
      </c>
      <c r="E140" s="385">
        <f>E141</f>
        <v>62005</v>
      </c>
      <c r="F140" s="385">
        <f>F141</f>
        <v>59255</v>
      </c>
      <c r="G140" s="386">
        <f t="shared" si="12"/>
        <v>95.564873800499967</v>
      </c>
      <c r="H140" s="261">
        <v>100</v>
      </c>
      <c r="I140" s="385">
        <f>I141</f>
        <v>217673.2</v>
      </c>
      <c r="J140" s="385">
        <f>J141</f>
        <v>211930</v>
      </c>
      <c r="K140" s="386">
        <f t="shared" si="11"/>
        <v>97.361549331750524</v>
      </c>
      <c r="L140" s="485">
        <v>100</v>
      </c>
      <c r="M140" s="262"/>
    </row>
    <row r="141" spans="1:13" s="155" customFormat="1" x14ac:dyDescent="0.25">
      <c r="A141" s="492"/>
      <c r="B141" s="387" t="s">
        <v>13</v>
      </c>
      <c r="C141" s="388"/>
      <c r="D141" s="388"/>
      <c r="E141" s="389">
        <v>62005</v>
      </c>
      <c r="F141" s="389">
        <v>59255</v>
      </c>
      <c r="G141" s="386">
        <f t="shared" si="12"/>
        <v>95.564873800499967</v>
      </c>
      <c r="H141" s="391"/>
      <c r="I141" s="389">
        <f>E141+'2016'!E83+'2017'!E101+'2018'!E121</f>
        <v>217673.2</v>
      </c>
      <c r="J141" s="389">
        <f>F141+'2016'!F83+'2017'!F101+'2018'!F121</f>
        <v>211930</v>
      </c>
      <c r="K141" s="390">
        <f t="shared" si="11"/>
        <v>97.361549331750524</v>
      </c>
      <c r="L141" s="391"/>
      <c r="M141" s="388"/>
    </row>
    <row r="142" spans="1:13" ht="105" x14ac:dyDescent="0.25">
      <c r="A142" s="492">
        <v>28</v>
      </c>
      <c r="B142" s="384" t="s">
        <v>49</v>
      </c>
      <c r="C142" s="383" t="s">
        <v>50</v>
      </c>
      <c r="D142" s="383" t="s">
        <v>15</v>
      </c>
      <c r="E142" s="385">
        <f>E143</f>
        <v>34000</v>
      </c>
      <c r="F142" s="385">
        <f>F143</f>
        <v>30000</v>
      </c>
      <c r="G142" s="386">
        <f t="shared" si="12"/>
        <v>88.235294117647058</v>
      </c>
      <c r="H142" s="261">
        <v>100</v>
      </c>
      <c r="I142" s="385">
        <f>I143</f>
        <v>110000</v>
      </c>
      <c r="J142" s="385">
        <f>J143</f>
        <v>106000</v>
      </c>
      <c r="K142" s="386">
        <f t="shared" si="11"/>
        <v>96.36363636363636</v>
      </c>
      <c r="L142" s="261">
        <v>100</v>
      </c>
      <c r="M142" s="262"/>
    </row>
    <row r="143" spans="1:13" s="155" customFormat="1" x14ac:dyDescent="0.25">
      <c r="A143" s="492"/>
      <c r="B143" s="387" t="s">
        <v>13</v>
      </c>
      <c r="C143" s="388"/>
      <c r="D143" s="388"/>
      <c r="E143" s="389">
        <v>34000</v>
      </c>
      <c r="F143" s="389">
        <v>30000</v>
      </c>
      <c r="G143" s="390">
        <f t="shared" si="12"/>
        <v>88.235294117647058</v>
      </c>
      <c r="H143" s="391"/>
      <c r="I143" s="389">
        <f>E143+'2016'!E85+'2017'!E103+'2018'!E123</f>
        <v>110000</v>
      </c>
      <c r="J143" s="389">
        <f>F143+'2016'!F85+'2017'!F103+'2018'!F123</f>
        <v>106000</v>
      </c>
      <c r="K143" s="390">
        <f t="shared" si="11"/>
        <v>96.36363636363636</v>
      </c>
      <c r="L143" s="391"/>
      <c r="M143" s="388"/>
    </row>
    <row r="144" spans="1:13" ht="60" x14ac:dyDescent="0.25">
      <c r="A144" s="492">
        <v>29</v>
      </c>
      <c r="B144" s="384" t="s">
        <v>51</v>
      </c>
      <c r="C144" s="262" t="s">
        <v>50</v>
      </c>
      <c r="D144" s="383" t="s">
        <v>579</v>
      </c>
      <c r="E144" s="385"/>
      <c r="F144" s="385"/>
      <c r="G144" s="386"/>
      <c r="H144" s="261"/>
      <c r="I144" s="385">
        <f>I145+I146</f>
        <v>83500</v>
      </c>
      <c r="J144" s="385">
        <f>J145+J146</f>
        <v>142500</v>
      </c>
      <c r="K144" s="386">
        <f t="shared" si="11"/>
        <v>170.65868263473055</v>
      </c>
      <c r="L144" s="261">
        <v>100</v>
      </c>
      <c r="M144" s="262"/>
    </row>
    <row r="145" spans="1:13" s="155" customFormat="1" x14ac:dyDescent="0.25">
      <c r="A145" s="492"/>
      <c r="B145" s="387" t="s">
        <v>13</v>
      </c>
      <c r="C145" s="388"/>
      <c r="D145" s="388"/>
      <c r="E145" s="389"/>
      <c r="F145" s="389"/>
      <c r="G145" s="390"/>
      <c r="H145" s="391"/>
      <c r="I145" s="389">
        <f>'2016'!E87+'2017'!E105+'2018'!E125</f>
        <v>83500</v>
      </c>
      <c r="J145" s="389">
        <f>'2016'!F87+'2017'!F105+'2018'!F125</f>
        <v>83500</v>
      </c>
      <c r="K145" s="390">
        <f t="shared" si="11"/>
        <v>100</v>
      </c>
      <c r="L145" s="391"/>
      <c r="M145" s="388"/>
    </row>
    <row r="146" spans="1:13" s="155" customFormat="1" x14ac:dyDescent="0.25">
      <c r="A146" s="492"/>
      <c r="B146" s="387" t="s">
        <v>53</v>
      </c>
      <c r="C146" s="388"/>
      <c r="D146" s="388"/>
      <c r="E146" s="389"/>
      <c r="F146" s="389"/>
      <c r="G146" s="388"/>
      <c r="H146" s="391"/>
      <c r="I146" s="389">
        <f>'2016'!E88+'2017'!E106+'2018'!E129</f>
        <v>0</v>
      </c>
      <c r="J146" s="389">
        <f>'2016'!F88+'2017'!F106+'2018'!F129</f>
        <v>59000</v>
      </c>
      <c r="K146" s="390"/>
      <c r="L146" s="391"/>
      <c r="M146" s="388"/>
    </row>
    <row r="147" spans="1:13" x14ac:dyDescent="0.25">
      <c r="A147" s="492"/>
      <c r="B147" s="394" t="s">
        <v>54</v>
      </c>
      <c r="C147" s="262"/>
      <c r="D147" s="262"/>
      <c r="E147" s="395">
        <f>E148</f>
        <v>214044</v>
      </c>
      <c r="F147" s="395">
        <f>F148</f>
        <v>207294</v>
      </c>
      <c r="G147" s="399">
        <f>F147/E147*100</f>
        <v>96.846442787464255</v>
      </c>
      <c r="H147" s="261"/>
      <c r="I147" s="395">
        <f>I148+I149</f>
        <v>777938.2</v>
      </c>
      <c r="J147" s="395">
        <f>J148+J149</f>
        <v>827195</v>
      </c>
      <c r="K147" s="399">
        <f t="shared" si="11"/>
        <v>106.33171118219931</v>
      </c>
      <c r="L147" s="261"/>
      <c r="M147" s="262"/>
    </row>
    <row r="148" spans="1:13" x14ac:dyDescent="0.25">
      <c r="A148" s="492"/>
      <c r="B148" s="387" t="s">
        <v>13</v>
      </c>
      <c r="C148" s="388"/>
      <c r="D148" s="388"/>
      <c r="E148" s="389">
        <f>E125+E127+E129+E131+E133+E135+E137+E139+E141+E143+E145</f>
        <v>214044</v>
      </c>
      <c r="F148" s="389">
        <f>F125+F127+F129+F131+F133+F135+F137+F139+F141+F143+F145</f>
        <v>207294</v>
      </c>
      <c r="G148" s="400">
        <f>F148/E148*100</f>
        <v>96.846442787464255</v>
      </c>
      <c r="H148" s="261"/>
      <c r="I148" s="389">
        <f>I125+I127+I129+I131+I133+I135+I137+I139+I141+I143+I145</f>
        <v>777938.2</v>
      </c>
      <c r="J148" s="389">
        <f>J125+J127+J129+J131+J133+J135+J137+J139+J141+J143+J145</f>
        <v>768195</v>
      </c>
      <c r="K148" s="390">
        <f t="shared" si="11"/>
        <v>98.747561181595159</v>
      </c>
      <c r="L148" s="261"/>
      <c r="M148" s="262"/>
    </row>
    <row r="149" spans="1:13" s="155" customFormat="1" x14ac:dyDescent="0.25">
      <c r="A149" s="492"/>
      <c r="B149" s="387" t="s">
        <v>324</v>
      </c>
      <c r="C149" s="388"/>
      <c r="D149" s="388"/>
      <c r="E149" s="389"/>
      <c r="F149" s="389"/>
      <c r="G149" s="400"/>
      <c r="H149" s="391"/>
      <c r="I149" s="389">
        <f>I146</f>
        <v>0</v>
      </c>
      <c r="J149" s="389">
        <f>J146</f>
        <v>59000</v>
      </c>
      <c r="K149" s="390"/>
      <c r="L149" s="391"/>
      <c r="M149" s="388"/>
    </row>
    <row r="150" spans="1:13" x14ac:dyDescent="0.25">
      <c r="A150" s="564" t="s">
        <v>55</v>
      </c>
      <c r="B150" s="564"/>
      <c r="C150" s="564"/>
      <c r="D150" s="564"/>
      <c r="E150" s="564"/>
      <c r="F150" s="564"/>
      <c r="G150" s="564"/>
      <c r="H150" s="564"/>
      <c r="I150" s="564"/>
      <c r="J150" s="564"/>
      <c r="K150" s="564"/>
      <c r="L150" s="564"/>
      <c r="M150" s="564"/>
    </row>
    <row r="151" spans="1:13" ht="45" x14ac:dyDescent="0.25">
      <c r="A151" s="492">
        <v>30</v>
      </c>
      <c r="B151" s="384" t="s">
        <v>56</v>
      </c>
      <c r="C151" s="383" t="s">
        <v>14</v>
      </c>
      <c r="D151" s="262" t="s">
        <v>175</v>
      </c>
      <c r="E151" s="401"/>
      <c r="F151" s="401"/>
      <c r="G151" s="402"/>
      <c r="H151" s="403"/>
      <c r="I151" s="385">
        <f>I152</f>
        <v>198475.28999999998</v>
      </c>
      <c r="J151" s="385">
        <f>J152</f>
        <v>197843.91999999998</v>
      </c>
      <c r="K151" s="386">
        <f t="shared" si="11"/>
        <v>99.681889871530103</v>
      </c>
      <c r="L151" s="403">
        <v>100</v>
      </c>
      <c r="M151" s="398"/>
    </row>
    <row r="152" spans="1:13" s="155" customFormat="1" x14ac:dyDescent="0.25">
      <c r="A152" s="492"/>
      <c r="B152" s="387" t="s">
        <v>13</v>
      </c>
      <c r="C152" s="388"/>
      <c r="D152" s="388"/>
      <c r="E152" s="404"/>
      <c r="F152" s="404"/>
      <c r="G152" s="405"/>
      <c r="H152" s="391"/>
      <c r="I152" s="389">
        <f>'2016'!E94+'2017'!E112+'2018'!E132</f>
        <v>198475.28999999998</v>
      </c>
      <c r="J152" s="389">
        <f>'2016'!F94+'2017'!F112+'2018'!F132</f>
        <v>197843.91999999998</v>
      </c>
      <c r="K152" s="390">
        <f t="shared" si="11"/>
        <v>99.681889871530103</v>
      </c>
      <c r="L152" s="391"/>
      <c r="M152" s="388"/>
    </row>
    <row r="153" spans="1:13" ht="60" x14ac:dyDescent="0.25">
      <c r="A153" s="492">
        <v>31</v>
      </c>
      <c r="B153" s="384" t="s">
        <v>277</v>
      </c>
      <c r="C153" s="383" t="s">
        <v>14</v>
      </c>
      <c r="D153" s="262" t="s">
        <v>290</v>
      </c>
      <c r="E153" s="401"/>
      <c r="F153" s="401"/>
      <c r="G153" s="402"/>
      <c r="H153" s="403"/>
      <c r="I153" s="385">
        <f>I154</f>
        <v>65521.51</v>
      </c>
      <c r="J153" s="385">
        <f>J154</f>
        <v>65521.440000000002</v>
      </c>
      <c r="K153" s="386">
        <f t="shared" si="11"/>
        <v>99.999893164855322</v>
      </c>
      <c r="L153" s="403">
        <v>100</v>
      </c>
      <c r="M153" s="262"/>
    </row>
    <row r="154" spans="1:13" s="155" customFormat="1" x14ac:dyDescent="0.25">
      <c r="A154" s="492"/>
      <c r="B154" s="387" t="s">
        <v>13</v>
      </c>
      <c r="C154" s="388"/>
      <c r="D154" s="388"/>
      <c r="E154" s="404"/>
      <c r="F154" s="404"/>
      <c r="G154" s="405"/>
      <c r="H154" s="391"/>
      <c r="I154" s="389">
        <f>'2017'!E114+'2018'!E134</f>
        <v>65521.51</v>
      </c>
      <c r="J154" s="389">
        <f>'2017'!F114+'2018'!F134</f>
        <v>65521.440000000002</v>
      </c>
      <c r="K154" s="390">
        <f t="shared" si="11"/>
        <v>99.999893164855322</v>
      </c>
      <c r="L154" s="391"/>
      <c r="M154" s="388"/>
    </row>
    <row r="155" spans="1:13" x14ac:dyDescent="0.25">
      <c r="A155" s="492"/>
      <c r="B155" s="394" t="s">
        <v>54</v>
      </c>
      <c r="C155" s="262"/>
      <c r="D155" s="262"/>
      <c r="E155" s="406"/>
      <c r="F155" s="406"/>
      <c r="G155" s="407"/>
      <c r="H155" s="261"/>
      <c r="I155" s="395">
        <f>I156</f>
        <v>263996.79999999999</v>
      </c>
      <c r="J155" s="395">
        <f>J156</f>
        <v>263365.36</v>
      </c>
      <c r="K155" s="396">
        <f t="shared" si="11"/>
        <v>99.760815282609485</v>
      </c>
      <c r="L155" s="261"/>
      <c r="M155" s="262"/>
    </row>
    <row r="156" spans="1:13" s="155" customFormat="1" x14ac:dyDescent="0.25">
      <c r="A156" s="492"/>
      <c r="B156" s="387" t="s">
        <v>13</v>
      </c>
      <c r="C156" s="388"/>
      <c r="D156" s="388"/>
      <c r="E156" s="404"/>
      <c r="F156" s="404"/>
      <c r="G156" s="402"/>
      <c r="H156" s="391"/>
      <c r="I156" s="389">
        <f>I154+I152</f>
        <v>263996.79999999999</v>
      </c>
      <c r="J156" s="389">
        <f>J154+J152</f>
        <v>263365.36</v>
      </c>
      <c r="K156" s="390">
        <f t="shared" si="11"/>
        <v>99.760815282609485</v>
      </c>
      <c r="L156" s="391"/>
      <c r="M156" s="388"/>
    </row>
    <row r="157" spans="1:13" x14ac:dyDescent="0.25">
      <c r="A157" s="564" t="s">
        <v>58</v>
      </c>
      <c r="B157" s="564"/>
      <c r="C157" s="564"/>
      <c r="D157" s="564"/>
      <c r="E157" s="564"/>
      <c r="F157" s="564"/>
      <c r="G157" s="564"/>
      <c r="H157" s="564"/>
      <c r="I157" s="564"/>
      <c r="J157" s="564"/>
      <c r="K157" s="564"/>
      <c r="L157" s="564"/>
      <c r="M157" s="564"/>
    </row>
    <row r="158" spans="1:13" ht="45" x14ac:dyDescent="0.25">
      <c r="A158" s="492">
        <v>32</v>
      </c>
      <c r="B158" s="384" t="s">
        <v>345</v>
      </c>
      <c r="C158" s="383" t="s">
        <v>14</v>
      </c>
      <c r="D158" s="262">
        <v>2016</v>
      </c>
      <c r="E158" s="262"/>
      <c r="F158" s="262"/>
      <c r="G158" s="262"/>
      <c r="H158" s="262"/>
      <c r="I158" s="385">
        <f>I159</f>
        <v>30000</v>
      </c>
      <c r="J158" s="385">
        <f>J159</f>
        <v>30000</v>
      </c>
      <c r="K158" s="386">
        <f t="shared" si="11"/>
        <v>100</v>
      </c>
      <c r="L158" s="262">
        <v>100</v>
      </c>
      <c r="M158" s="262"/>
    </row>
    <row r="159" spans="1:13" x14ac:dyDescent="0.25">
      <c r="A159" s="492"/>
      <c r="B159" s="387" t="s">
        <v>13</v>
      </c>
      <c r="C159" s="262"/>
      <c r="D159" s="262"/>
      <c r="E159" s="262"/>
      <c r="F159" s="262"/>
      <c r="G159" s="262"/>
      <c r="H159" s="262"/>
      <c r="I159" s="389">
        <f>'2016'!E99</f>
        <v>30000</v>
      </c>
      <c r="J159" s="389">
        <f>'2016'!F99</f>
        <v>30000</v>
      </c>
      <c r="K159" s="390">
        <f t="shared" si="11"/>
        <v>100</v>
      </c>
      <c r="L159" s="262"/>
      <c r="M159" s="262"/>
    </row>
    <row r="160" spans="1:13" ht="30" x14ac:dyDescent="0.25">
      <c r="A160" s="492">
        <v>33</v>
      </c>
      <c r="B160" s="384" t="s">
        <v>59</v>
      </c>
      <c r="C160" s="383" t="s">
        <v>14</v>
      </c>
      <c r="D160" s="262" t="s">
        <v>581</v>
      </c>
      <c r="E160" s="262"/>
      <c r="F160" s="262"/>
      <c r="G160" s="262"/>
      <c r="H160" s="262"/>
      <c r="I160" s="385">
        <f>I161</f>
        <v>39950</v>
      </c>
      <c r="J160" s="385">
        <f>J161</f>
        <v>39950</v>
      </c>
      <c r="K160" s="386">
        <f t="shared" si="11"/>
        <v>100</v>
      </c>
      <c r="L160" s="262">
        <v>100</v>
      </c>
      <c r="M160" s="262"/>
    </row>
    <row r="161" spans="1:13" x14ac:dyDescent="0.25">
      <c r="A161" s="492"/>
      <c r="B161" s="387" t="s">
        <v>13</v>
      </c>
      <c r="C161" s="262"/>
      <c r="D161" s="262"/>
      <c r="E161" s="262"/>
      <c r="F161" s="262"/>
      <c r="G161" s="262"/>
      <c r="H161" s="262"/>
      <c r="I161" s="389">
        <f>'2016'!E101+'2017'!E119</f>
        <v>39950</v>
      </c>
      <c r="J161" s="389">
        <f>'2016'!F101+'2017'!F119</f>
        <v>39950</v>
      </c>
      <c r="K161" s="390">
        <f t="shared" si="11"/>
        <v>100</v>
      </c>
      <c r="L161" s="262"/>
      <c r="M161" s="262"/>
    </row>
    <row r="162" spans="1:13" ht="45" x14ac:dyDescent="0.25">
      <c r="A162" s="492">
        <v>34</v>
      </c>
      <c r="B162" s="384" t="s">
        <v>527</v>
      </c>
      <c r="C162" s="383" t="s">
        <v>14</v>
      </c>
      <c r="D162" s="262">
        <v>2017</v>
      </c>
      <c r="E162" s="262"/>
      <c r="F162" s="262"/>
      <c r="G162" s="262"/>
      <c r="H162" s="262"/>
      <c r="I162" s="385">
        <f>I163</f>
        <v>15000</v>
      </c>
      <c r="J162" s="385">
        <f>J163</f>
        <v>15000</v>
      </c>
      <c r="K162" s="386">
        <f t="shared" si="11"/>
        <v>100</v>
      </c>
      <c r="L162" s="262">
        <v>100</v>
      </c>
      <c r="M162" s="262"/>
    </row>
    <row r="163" spans="1:13" x14ac:dyDescent="0.25">
      <c r="A163" s="492"/>
      <c r="B163" s="387" t="s">
        <v>13</v>
      </c>
      <c r="C163" s="262"/>
      <c r="D163" s="262"/>
      <c r="E163" s="262"/>
      <c r="F163" s="262"/>
      <c r="G163" s="262"/>
      <c r="H163" s="262"/>
      <c r="I163" s="389">
        <f>'2017'!E121</f>
        <v>15000</v>
      </c>
      <c r="J163" s="389">
        <f>'2017'!F121</f>
        <v>15000</v>
      </c>
      <c r="K163" s="390">
        <f t="shared" si="11"/>
        <v>100</v>
      </c>
      <c r="L163" s="262"/>
      <c r="M163" s="262"/>
    </row>
    <row r="164" spans="1:13" ht="45" x14ac:dyDescent="0.25">
      <c r="A164" s="492">
        <v>35</v>
      </c>
      <c r="B164" s="384" t="s">
        <v>278</v>
      </c>
      <c r="C164" s="383" t="s">
        <v>14</v>
      </c>
      <c r="D164" s="262" t="s">
        <v>274</v>
      </c>
      <c r="E164" s="401">
        <f>E165</f>
        <v>55000</v>
      </c>
      <c r="F164" s="401">
        <f>F165</f>
        <v>55000</v>
      </c>
      <c r="G164" s="402">
        <f t="shared" ref="G164:G169" si="16">F164/E164*100</f>
        <v>100</v>
      </c>
      <c r="H164" s="403">
        <v>100</v>
      </c>
      <c r="I164" s="385">
        <f>I165</f>
        <v>89960</v>
      </c>
      <c r="J164" s="385">
        <f>J165</f>
        <v>89960</v>
      </c>
      <c r="K164" s="386">
        <f t="shared" si="11"/>
        <v>100</v>
      </c>
      <c r="L164" s="403">
        <v>100</v>
      </c>
      <c r="M164" s="262"/>
    </row>
    <row r="165" spans="1:13" s="155" customFormat="1" x14ac:dyDescent="0.25">
      <c r="A165" s="492"/>
      <c r="B165" s="387" t="s">
        <v>13</v>
      </c>
      <c r="C165" s="388"/>
      <c r="D165" s="388"/>
      <c r="E165" s="404">
        <v>55000</v>
      </c>
      <c r="F165" s="404">
        <v>55000</v>
      </c>
      <c r="G165" s="405">
        <f t="shared" si="16"/>
        <v>100</v>
      </c>
      <c r="H165" s="391"/>
      <c r="I165" s="389">
        <f>E165+'2017'!E123+'2018'!E139</f>
        <v>89960</v>
      </c>
      <c r="J165" s="389">
        <f>F165+'2017'!F123+'2018'!F139</f>
        <v>89960</v>
      </c>
      <c r="K165" s="390">
        <f t="shared" si="11"/>
        <v>100</v>
      </c>
      <c r="L165" s="391"/>
      <c r="M165" s="388"/>
    </row>
    <row r="166" spans="1:13" s="155" customFormat="1" ht="81.75" customHeight="1" x14ac:dyDescent="0.25">
      <c r="A166" s="492">
        <v>36</v>
      </c>
      <c r="B166" s="384" t="s">
        <v>580</v>
      </c>
      <c r="C166" s="383" t="s">
        <v>14</v>
      </c>
      <c r="D166" s="262">
        <v>2019</v>
      </c>
      <c r="E166" s="401">
        <f>E167</f>
        <v>115000</v>
      </c>
      <c r="F166" s="401">
        <f>F167</f>
        <v>0</v>
      </c>
      <c r="G166" s="402">
        <f t="shared" si="16"/>
        <v>0</v>
      </c>
      <c r="H166" s="391"/>
      <c r="I166" s="385">
        <f>I167</f>
        <v>115000</v>
      </c>
      <c r="J166" s="385">
        <f>J167</f>
        <v>0</v>
      </c>
      <c r="K166" s="261">
        <v>0</v>
      </c>
      <c r="L166" s="391"/>
      <c r="M166" s="384" t="s">
        <v>660</v>
      </c>
    </row>
    <row r="167" spans="1:13" s="155" customFormat="1" x14ac:dyDescent="0.25">
      <c r="A167" s="492"/>
      <c r="B167" s="387" t="s">
        <v>13</v>
      </c>
      <c r="C167" s="388"/>
      <c r="D167" s="388"/>
      <c r="E167" s="404">
        <v>115000</v>
      </c>
      <c r="F167" s="404"/>
      <c r="G167" s="405">
        <f t="shared" si="16"/>
        <v>0</v>
      </c>
      <c r="H167" s="391"/>
      <c r="I167" s="389">
        <f>E167</f>
        <v>115000</v>
      </c>
      <c r="J167" s="389">
        <v>0</v>
      </c>
      <c r="K167" s="261">
        <v>0</v>
      </c>
      <c r="L167" s="391"/>
      <c r="M167" s="388"/>
    </row>
    <row r="168" spans="1:13" x14ac:dyDescent="0.25">
      <c r="A168" s="492"/>
      <c r="B168" s="394" t="s">
        <v>54</v>
      </c>
      <c r="C168" s="262"/>
      <c r="D168" s="262"/>
      <c r="E168" s="406">
        <f>E169</f>
        <v>170000</v>
      </c>
      <c r="F168" s="406">
        <f>F169</f>
        <v>55000</v>
      </c>
      <c r="G168" s="407">
        <f t="shared" si="16"/>
        <v>32.352941176470587</v>
      </c>
      <c r="H168" s="261"/>
      <c r="I168" s="406">
        <f>I169</f>
        <v>289910</v>
      </c>
      <c r="J168" s="406">
        <f>J169</f>
        <v>174910</v>
      </c>
      <c r="K168" s="407">
        <f t="shared" ref="K168:K174" si="17">J168/I168*100</f>
        <v>60.332516988030768</v>
      </c>
      <c r="L168" s="261"/>
      <c r="M168" s="262"/>
    </row>
    <row r="169" spans="1:13" s="155" customFormat="1" x14ac:dyDescent="0.25">
      <c r="A169" s="492"/>
      <c r="B169" s="387" t="s">
        <v>13</v>
      </c>
      <c r="C169" s="388"/>
      <c r="D169" s="388"/>
      <c r="E169" s="404">
        <f>E159+E161+E163+E165+E167</f>
        <v>170000</v>
      </c>
      <c r="F169" s="404">
        <f>F159+F161+F163+F165+F167</f>
        <v>55000</v>
      </c>
      <c r="G169" s="405">
        <f t="shared" si="16"/>
        <v>32.352941176470587</v>
      </c>
      <c r="H169" s="391"/>
      <c r="I169" s="404">
        <f>I159+I161+I163+I165+I167</f>
        <v>289910</v>
      </c>
      <c r="J169" s="404">
        <f>J159+J161+J163+J165+J167</f>
        <v>174910</v>
      </c>
      <c r="K169" s="390">
        <f t="shared" si="17"/>
        <v>60.332516988030768</v>
      </c>
      <c r="L169" s="391"/>
      <c r="M169" s="388"/>
    </row>
    <row r="170" spans="1:13" ht="76.5" customHeight="1" x14ac:dyDescent="0.25">
      <c r="A170" s="492">
        <v>37</v>
      </c>
      <c r="B170" s="384" t="s">
        <v>451</v>
      </c>
      <c r="C170" s="383" t="s">
        <v>14</v>
      </c>
      <c r="D170" s="262" t="s">
        <v>44</v>
      </c>
      <c r="E170" s="401">
        <f>E171</f>
        <v>16229006</v>
      </c>
      <c r="F170" s="401">
        <f>F171</f>
        <v>16353696.67</v>
      </c>
      <c r="G170" s="397">
        <f>F170/E170*100</f>
        <v>100.76831982192871</v>
      </c>
      <c r="H170" s="403">
        <v>100</v>
      </c>
      <c r="I170" s="385">
        <f>I171</f>
        <v>53534587.600000001</v>
      </c>
      <c r="J170" s="385">
        <f>J171</f>
        <v>49506955.850000001</v>
      </c>
      <c r="K170" s="386">
        <f t="shared" si="17"/>
        <v>92.47658022493107</v>
      </c>
      <c r="L170" s="403">
        <v>100</v>
      </c>
      <c r="M170" s="445"/>
    </row>
    <row r="171" spans="1:13" s="155" customFormat="1" x14ac:dyDescent="0.25">
      <c r="A171" s="492"/>
      <c r="B171" s="387" t="s">
        <v>13</v>
      </c>
      <c r="C171" s="408"/>
      <c r="D171" s="388"/>
      <c r="E171" s="404">
        <v>16229006</v>
      </c>
      <c r="F171" s="404">
        <v>16353696.67</v>
      </c>
      <c r="G171" s="400">
        <f>F171/E171*100</f>
        <v>100.76831982192871</v>
      </c>
      <c r="H171" s="391"/>
      <c r="I171" s="404">
        <f>E171+'2016'!E105+'2017'!E127+'2018'!E143</f>
        <v>53534587.600000001</v>
      </c>
      <c r="J171" s="404">
        <f>F171+'2016'!F105+'2017'!F127+'2018'!F143</f>
        <v>49506955.850000001</v>
      </c>
      <c r="K171" s="390">
        <f t="shared" si="17"/>
        <v>92.47658022493107</v>
      </c>
      <c r="L171" s="391"/>
      <c r="M171" s="388"/>
    </row>
    <row r="172" spans="1:13" x14ac:dyDescent="0.25">
      <c r="A172" s="492"/>
      <c r="B172" s="394" t="s">
        <v>73</v>
      </c>
      <c r="C172" s="383"/>
      <c r="D172" s="262"/>
      <c r="E172" s="406">
        <f>E173+E174</f>
        <v>17799706</v>
      </c>
      <c r="F172" s="406">
        <f>F173+F174</f>
        <v>17798805.02</v>
      </c>
      <c r="G172" s="399">
        <f>F172/E172*100</f>
        <v>99.994938231002237</v>
      </c>
      <c r="H172" s="261"/>
      <c r="I172" s="406">
        <f>I173+I174</f>
        <v>60049905.700000003</v>
      </c>
      <c r="J172" s="406">
        <f>J173+J174</f>
        <v>55209788.520000003</v>
      </c>
      <c r="K172" s="396">
        <f t="shared" si="17"/>
        <v>91.939842163648905</v>
      </c>
      <c r="L172" s="261"/>
      <c r="M172" s="262"/>
    </row>
    <row r="173" spans="1:13" s="155" customFormat="1" x14ac:dyDescent="0.25">
      <c r="A173" s="492"/>
      <c r="B173" s="387" t="s">
        <v>13</v>
      </c>
      <c r="C173" s="408"/>
      <c r="D173" s="388"/>
      <c r="E173" s="404">
        <f>E93+E101+E113+E122+E148+E156+E169+E171</f>
        <v>17775706</v>
      </c>
      <c r="F173" s="404">
        <f>F93+F101+F113+F122+F148+F156+F169+F171</f>
        <v>17774014.870000001</v>
      </c>
      <c r="G173" s="400">
        <f>F173/E173*100</f>
        <v>99.990486285045449</v>
      </c>
      <c r="H173" s="391"/>
      <c r="I173" s="404">
        <f>I93+I101+I113+I122+I148+I156+I169+I171</f>
        <v>59958905.700000003</v>
      </c>
      <c r="J173" s="404">
        <f>J93+J101+J113+J122+J148+J156+J169+J171</f>
        <v>55057188.260000005</v>
      </c>
      <c r="K173" s="390">
        <f t="shared" si="17"/>
        <v>91.824871747117299</v>
      </c>
      <c r="L173" s="391"/>
      <c r="M173" s="388"/>
    </row>
    <row r="174" spans="1:13" s="155" customFormat="1" x14ac:dyDescent="0.25">
      <c r="A174" s="492"/>
      <c r="B174" s="387" t="s">
        <v>53</v>
      </c>
      <c r="C174" s="408"/>
      <c r="D174" s="388"/>
      <c r="E174" s="404">
        <f>E106+E149</f>
        <v>24000</v>
      </c>
      <c r="F174" s="404">
        <f>F106+F149</f>
        <v>24790.15</v>
      </c>
      <c r="G174" s="409">
        <f>F174/E174*100</f>
        <v>103.29229166666667</v>
      </c>
      <c r="H174" s="391"/>
      <c r="I174" s="404">
        <f>I106+I149</f>
        <v>91000</v>
      </c>
      <c r="J174" s="404">
        <f>J106+J149</f>
        <v>152600.26</v>
      </c>
      <c r="K174" s="390">
        <f t="shared" si="17"/>
        <v>167.6925934065934</v>
      </c>
      <c r="L174" s="391"/>
      <c r="M174" s="388"/>
    </row>
    <row r="175" spans="1:13" x14ac:dyDescent="0.25">
      <c r="A175" s="492"/>
      <c r="B175" s="387"/>
      <c r="C175" s="388"/>
      <c r="D175" s="388"/>
      <c r="E175" s="388"/>
      <c r="F175" s="388"/>
      <c r="G175" s="388"/>
      <c r="H175" s="410"/>
      <c r="I175" s="410"/>
      <c r="J175" s="410"/>
      <c r="K175" s="410"/>
      <c r="L175" s="410"/>
      <c r="M175" s="387"/>
    </row>
    <row r="176" spans="1:13" x14ac:dyDescent="0.25">
      <c r="A176" s="565" t="s">
        <v>305</v>
      </c>
      <c r="B176" s="565"/>
      <c r="C176" s="565"/>
      <c r="D176" s="565"/>
      <c r="E176" s="565"/>
      <c r="F176" s="565"/>
      <c r="G176" s="565"/>
      <c r="H176" s="565"/>
      <c r="I176" s="565"/>
      <c r="J176" s="565"/>
      <c r="K176" s="565"/>
      <c r="L176" s="565"/>
      <c r="M176" s="565"/>
    </row>
    <row r="177" spans="1:13" x14ac:dyDescent="0.25">
      <c r="A177" s="564" t="s">
        <v>284</v>
      </c>
      <c r="B177" s="564"/>
      <c r="C177" s="564"/>
      <c r="D177" s="564"/>
      <c r="E177" s="564"/>
      <c r="F177" s="564"/>
      <c r="G177" s="564"/>
      <c r="H177" s="564"/>
      <c r="I177" s="564"/>
      <c r="J177" s="564"/>
      <c r="K177" s="564"/>
      <c r="L177" s="564"/>
      <c r="M177" s="564"/>
    </row>
    <row r="178" spans="1:13" ht="90" x14ac:dyDescent="0.25">
      <c r="A178" s="492">
        <v>38</v>
      </c>
      <c r="B178" s="384" t="s">
        <v>454</v>
      </c>
      <c r="C178" s="383" t="s">
        <v>14</v>
      </c>
      <c r="D178" s="262" t="s">
        <v>285</v>
      </c>
      <c r="E178" s="401"/>
      <c r="F178" s="401"/>
      <c r="G178" s="397"/>
      <c r="H178" s="403"/>
      <c r="I178" s="385">
        <f>I179</f>
        <v>20000</v>
      </c>
      <c r="J178" s="385">
        <f>J179</f>
        <v>20000</v>
      </c>
      <c r="K178" s="386">
        <f t="shared" ref="K178:K186" si="18">J178/I178*100</f>
        <v>100</v>
      </c>
      <c r="L178" s="403">
        <v>100</v>
      </c>
      <c r="M178" s="446"/>
    </row>
    <row r="179" spans="1:13" x14ac:dyDescent="0.25">
      <c r="A179" s="492"/>
      <c r="B179" s="387" t="s">
        <v>13</v>
      </c>
      <c r="C179" s="388"/>
      <c r="D179" s="388"/>
      <c r="E179" s="404"/>
      <c r="F179" s="404"/>
      <c r="G179" s="400"/>
      <c r="H179" s="388"/>
      <c r="I179" s="389">
        <f>'2017'!E135+'2018'!E151</f>
        <v>20000</v>
      </c>
      <c r="J179" s="389">
        <f>'2017'!F135+'2018'!F151</f>
        <v>20000</v>
      </c>
      <c r="K179" s="390">
        <f t="shared" si="18"/>
        <v>100</v>
      </c>
      <c r="L179" s="388"/>
      <c r="M179" s="388"/>
    </row>
    <row r="180" spans="1:13" x14ac:dyDescent="0.25">
      <c r="A180" s="492"/>
      <c r="B180" s="394" t="s">
        <v>54</v>
      </c>
      <c r="C180" s="388"/>
      <c r="D180" s="388"/>
      <c r="E180" s="406"/>
      <c r="F180" s="406"/>
      <c r="G180" s="399"/>
      <c r="H180" s="388"/>
      <c r="I180" s="406">
        <f>I181</f>
        <v>20000</v>
      </c>
      <c r="J180" s="406">
        <f>J181</f>
        <v>20000</v>
      </c>
      <c r="K180" s="406">
        <f t="shared" si="18"/>
        <v>100</v>
      </c>
      <c r="L180" s="388"/>
      <c r="M180" s="388"/>
    </row>
    <row r="181" spans="1:13" s="155" customFormat="1" x14ac:dyDescent="0.25">
      <c r="A181" s="492"/>
      <c r="B181" s="387" t="s">
        <v>13</v>
      </c>
      <c r="C181" s="388"/>
      <c r="D181" s="388"/>
      <c r="E181" s="404">
        <f>E179</f>
        <v>0</v>
      </c>
      <c r="F181" s="404">
        <f>F179</f>
        <v>0</v>
      </c>
      <c r="G181" s="400"/>
      <c r="H181" s="388"/>
      <c r="I181" s="404">
        <f>I179</f>
        <v>20000</v>
      </c>
      <c r="J181" s="404">
        <f>J179</f>
        <v>20000</v>
      </c>
      <c r="K181" s="390">
        <f t="shared" si="18"/>
        <v>100</v>
      </c>
      <c r="L181" s="388"/>
      <c r="M181" s="388"/>
    </row>
    <row r="182" spans="1:13" x14ac:dyDescent="0.25">
      <c r="A182" s="564" t="s">
        <v>12</v>
      </c>
      <c r="B182" s="564"/>
      <c r="C182" s="564"/>
      <c r="D182" s="564"/>
      <c r="E182" s="564"/>
      <c r="F182" s="564"/>
      <c r="G182" s="564"/>
      <c r="H182" s="564"/>
      <c r="I182" s="564"/>
      <c r="J182" s="564"/>
      <c r="K182" s="564"/>
      <c r="L182" s="564"/>
      <c r="M182" s="564"/>
    </row>
    <row r="183" spans="1:13" ht="195" x14ac:dyDescent="0.25">
      <c r="A183" s="492">
        <v>39</v>
      </c>
      <c r="B183" s="384" t="s">
        <v>455</v>
      </c>
      <c r="C183" s="262" t="s">
        <v>14</v>
      </c>
      <c r="D183" s="262" t="s">
        <v>15</v>
      </c>
      <c r="E183" s="401">
        <f>E184</f>
        <v>10500</v>
      </c>
      <c r="F183" s="401">
        <f>F184</f>
        <v>10500</v>
      </c>
      <c r="G183" s="397">
        <f t="shared" ref="G183:G190" si="19">F183/E183*100</f>
        <v>100</v>
      </c>
      <c r="H183" s="403">
        <v>100</v>
      </c>
      <c r="I183" s="385">
        <f>I184</f>
        <v>41906</v>
      </c>
      <c r="J183" s="385">
        <f>J184</f>
        <v>41400</v>
      </c>
      <c r="K183" s="386">
        <f t="shared" si="18"/>
        <v>98.79253567508232</v>
      </c>
      <c r="L183" s="403">
        <v>100</v>
      </c>
      <c r="M183" s="262"/>
    </row>
    <row r="184" spans="1:13" s="155" customFormat="1" x14ac:dyDescent="0.25">
      <c r="A184" s="492"/>
      <c r="B184" s="387" t="s">
        <v>13</v>
      </c>
      <c r="C184" s="388"/>
      <c r="D184" s="388"/>
      <c r="E184" s="389">
        <v>10500</v>
      </c>
      <c r="F184" s="389">
        <v>10500</v>
      </c>
      <c r="G184" s="400">
        <f t="shared" si="19"/>
        <v>100</v>
      </c>
      <c r="H184" s="409"/>
      <c r="I184" s="389">
        <f>E184+'2016'!E113+'2017'!E140+'2018'!E156</f>
        <v>41906</v>
      </c>
      <c r="J184" s="389">
        <f>F184+'2016'!F113+'2017'!F140+'2018'!F156</f>
        <v>41400</v>
      </c>
      <c r="K184" s="390">
        <f t="shared" si="18"/>
        <v>98.79253567508232</v>
      </c>
      <c r="L184" s="409"/>
      <c r="M184" s="388"/>
    </row>
    <row r="185" spans="1:13" ht="90" x14ac:dyDescent="0.25">
      <c r="A185" s="492">
        <v>40</v>
      </c>
      <c r="B185" s="384" t="s">
        <v>37</v>
      </c>
      <c r="C185" s="262" t="s">
        <v>14</v>
      </c>
      <c r="D185" s="262" t="s">
        <v>16</v>
      </c>
      <c r="E185" s="401">
        <f>E186</f>
        <v>10000</v>
      </c>
      <c r="F185" s="401">
        <f>F186</f>
        <v>10000</v>
      </c>
      <c r="G185" s="397">
        <f t="shared" si="19"/>
        <v>100</v>
      </c>
      <c r="H185" s="403">
        <v>100</v>
      </c>
      <c r="I185" s="385">
        <f>I186</f>
        <v>38300</v>
      </c>
      <c r="J185" s="385">
        <f>J186</f>
        <v>38300</v>
      </c>
      <c r="K185" s="386">
        <f t="shared" si="18"/>
        <v>100</v>
      </c>
      <c r="L185" s="403">
        <v>100</v>
      </c>
      <c r="M185" s="262"/>
    </row>
    <row r="186" spans="1:13" s="155" customFormat="1" x14ac:dyDescent="0.25">
      <c r="A186" s="492"/>
      <c r="B186" s="387" t="s">
        <v>13</v>
      </c>
      <c r="C186" s="388"/>
      <c r="D186" s="388"/>
      <c r="E186" s="389">
        <v>10000</v>
      </c>
      <c r="F186" s="389">
        <v>10000</v>
      </c>
      <c r="G186" s="400">
        <f t="shared" si="19"/>
        <v>100</v>
      </c>
      <c r="H186" s="409"/>
      <c r="I186" s="389">
        <f>E186+'2016'!E115+'2017'!E142+'2018'!E158</f>
        <v>38300</v>
      </c>
      <c r="J186" s="389">
        <f>F186+'2016'!F115+'2017'!F142+'2018'!F158</f>
        <v>38300</v>
      </c>
      <c r="K186" s="390">
        <f t="shared" si="18"/>
        <v>100</v>
      </c>
      <c r="L186" s="409"/>
      <c r="M186" s="388"/>
    </row>
    <row r="187" spans="1:13" s="155" customFormat="1" ht="165" x14ac:dyDescent="0.25">
      <c r="A187" s="492">
        <v>41</v>
      </c>
      <c r="B187" s="384" t="s">
        <v>348</v>
      </c>
      <c r="C187" s="380" t="s">
        <v>17</v>
      </c>
      <c r="D187" s="380">
        <v>2016</v>
      </c>
      <c r="E187" s="389"/>
      <c r="F187" s="389"/>
      <c r="G187" s="400"/>
      <c r="H187" s="409"/>
      <c r="I187" s="385">
        <v>0</v>
      </c>
      <c r="J187" s="385">
        <v>0</v>
      </c>
      <c r="K187" s="390"/>
      <c r="L187" s="403">
        <v>30</v>
      </c>
      <c r="M187" s="388"/>
    </row>
    <row r="188" spans="1:13" s="155" customFormat="1" x14ac:dyDescent="0.25">
      <c r="A188" s="492"/>
      <c r="B188" s="387" t="s">
        <v>19</v>
      </c>
      <c r="C188" s="388"/>
      <c r="D188" s="388"/>
      <c r="E188" s="389"/>
      <c r="F188" s="389"/>
      <c r="G188" s="400"/>
      <c r="H188" s="409"/>
      <c r="I188" s="389">
        <v>0</v>
      </c>
      <c r="J188" s="389">
        <v>0</v>
      </c>
      <c r="K188" s="390"/>
      <c r="L188" s="409"/>
      <c r="M188" s="388"/>
    </row>
    <row r="189" spans="1:13" x14ac:dyDescent="0.25">
      <c r="A189" s="492"/>
      <c r="B189" s="394" t="s">
        <v>54</v>
      </c>
      <c r="C189" s="262"/>
      <c r="D189" s="262"/>
      <c r="E189" s="395">
        <f>E184+E186</f>
        <v>20500</v>
      </c>
      <c r="F189" s="395">
        <f>F184+F186</f>
        <v>20500</v>
      </c>
      <c r="G189" s="399">
        <f t="shared" si="19"/>
        <v>100</v>
      </c>
      <c r="H189" s="411"/>
      <c r="I189" s="395">
        <f>I190+I191</f>
        <v>80206</v>
      </c>
      <c r="J189" s="395">
        <f>J190+J191</f>
        <v>79700</v>
      </c>
      <c r="K189" s="396">
        <f t="shared" ref="K189:K190" si="20">J189/I189*100</f>
        <v>99.369124504401157</v>
      </c>
      <c r="L189" s="411"/>
      <c r="M189" s="262"/>
    </row>
    <row r="190" spans="1:13" s="155" customFormat="1" x14ac:dyDescent="0.25">
      <c r="A190" s="492"/>
      <c r="B190" s="387" t="s">
        <v>13</v>
      </c>
      <c r="C190" s="388"/>
      <c r="D190" s="388"/>
      <c r="E190" s="389">
        <f>E186+E184</f>
        <v>20500</v>
      </c>
      <c r="F190" s="389">
        <f>F186+F184</f>
        <v>20500</v>
      </c>
      <c r="G190" s="400">
        <f t="shared" si="19"/>
        <v>100</v>
      </c>
      <c r="H190" s="391"/>
      <c r="I190" s="389">
        <f>I186+I184</f>
        <v>80206</v>
      </c>
      <c r="J190" s="389">
        <f>J186+J184</f>
        <v>79700</v>
      </c>
      <c r="K190" s="390">
        <f t="shared" si="20"/>
        <v>99.369124504401157</v>
      </c>
      <c r="L190" s="391"/>
      <c r="M190" s="388"/>
    </row>
    <row r="191" spans="1:13" s="155" customFormat="1" x14ac:dyDescent="0.25">
      <c r="A191" s="492"/>
      <c r="B191" s="387" t="s">
        <v>19</v>
      </c>
      <c r="C191" s="388"/>
      <c r="D191" s="388"/>
      <c r="E191" s="389"/>
      <c r="F191" s="389"/>
      <c r="G191" s="400"/>
      <c r="H191" s="391"/>
      <c r="I191" s="389">
        <f>I188</f>
        <v>0</v>
      </c>
      <c r="J191" s="389">
        <f>J188</f>
        <v>0</v>
      </c>
      <c r="K191" s="391"/>
      <c r="L191" s="391"/>
      <c r="M191" s="388"/>
    </row>
    <row r="192" spans="1:13" x14ac:dyDescent="0.25">
      <c r="A192" s="564" t="s">
        <v>20</v>
      </c>
      <c r="B192" s="564"/>
      <c r="C192" s="564"/>
      <c r="D192" s="564"/>
      <c r="E192" s="564"/>
      <c r="F192" s="564"/>
      <c r="G192" s="564"/>
      <c r="H192" s="564"/>
      <c r="I192" s="564"/>
      <c r="J192" s="564"/>
      <c r="K192" s="564"/>
      <c r="L192" s="564"/>
      <c r="M192" s="564"/>
    </row>
    <row r="193" spans="1:16" ht="75" x14ac:dyDescent="0.25">
      <c r="A193" s="492">
        <v>42</v>
      </c>
      <c r="B193" s="384" t="s">
        <v>286</v>
      </c>
      <c r="C193" s="262" t="s">
        <v>287</v>
      </c>
      <c r="D193" s="262" t="s">
        <v>280</v>
      </c>
      <c r="E193" s="401">
        <f>E194</f>
        <v>40200</v>
      </c>
      <c r="F193" s="401">
        <f>F194</f>
        <v>39690</v>
      </c>
      <c r="G193" s="397">
        <f>F193/E193*100</f>
        <v>98.731343283582078</v>
      </c>
      <c r="H193" s="403">
        <v>100</v>
      </c>
      <c r="I193" s="401">
        <f>I194</f>
        <v>710539</v>
      </c>
      <c r="J193" s="401">
        <f>J194</f>
        <v>704888.60000000009</v>
      </c>
      <c r="K193" s="386">
        <f t="shared" ref="K193:K201" si="21">J193/I193*100</f>
        <v>99.204772714798224</v>
      </c>
      <c r="L193" s="403">
        <v>100</v>
      </c>
      <c r="M193" s="262"/>
    </row>
    <row r="194" spans="1:16" s="155" customFormat="1" x14ac:dyDescent="0.25">
      <c r="A194" s="492"/>
      <c r="B194" s="387" t="s">
        <v>27</v>
      </c>
      <c r="C194" s="388"/>
      <c r="D194" s="388"/>
      <c r="E194" s="389">
        <f>E195+E196+E197</f>
        <v>40200</v>
      </c>
      <c r="F194" s="389">
        <f>F195+F196+F197</f>
        <v>39690</v>
      </c>
      <c r="G194" s="400">
        <f>F194/E194*100</f>
        <v>98.731343283582078</v>
      </c>
      <c r="H194" s="409"/>
      <c r="I194" s="389">
        <f>I195+I196+I197</f>
        <v>710539</v>
      </c>
      <c r="J194" s="389">
        <f>J195+J196+J197</f>
        <v>704888.60000000009</v>
      </c>
      <c r="K194" s="390">
        <f t="shared" si="21"/>
        <v>99.204772714798224</v>
      </c>
      <c r="L194" s="409"/>
      <c r="M194" s="388"/>
    </row>
    <row r="195" spans="1:16" ht="53.25" customHeight="1" x14ac:dyDescent="0.25">
      <c r="A195" s="492"/>
      <c r="B195" s="384" t="s">
        <v>29</v>
      </c>
      <c r="C195" s="262"/>
      <c r="D195" s="262"/>
      <c r="E195" s="385"/>
      <c r="F195" s="385"/>
      <c r="G195" s="397"/>
      <c r="H195" s="403"/>
      <c r="I195" s="385">
        <f>'2017'!E148</f>
        <v>5000</v>
      </c>
      <c r="J195" s="385">
        <f>'2017'!F148</f>
        <v>0</v>
      </c>
      <c r="K195" s="390">
        <f t="shared" si="21"/>
        <v>0</v>
      </c>
      <c r="L195" s="403"/>
      <c r="M195" s="494" t="s">
        <v>531</v>
      </c>
    </row>
    <row r="196" spans="1:16" x14ac:dyDescent="0.25">
      <c r="A196" s="492"/>
      <c r="B196" s="384" t="s">
        <v>31</v>
      </c>
      <c r="C196" s="262"/>
      <c r="D196" s="262"/>
      <c r="E196" s="385"/>
      <c r="F196" s="385"/>
      <c r="G196" s="397"/>
      <c r="H196" s="403"/>
      <c r="I196" s="385">
        <f>'2017'!E149</f>
        <v>352448</v>
      </c>
      <c r="J196" s="385">
        <f>'2017'!F149</f>
        <v>352400.55</v>
      </c>
      <c r="K196" s="390">
        <f t="shared" si="21"/>
        <v>99.986537021064095</v>
      </c>
      <c r="L196" s="403"/>
      <c r="M196" s="262"/>
    </row>
    <row r="197" spans="1:16" x14ac:dyDescent="0.25">
      <c r="A197" s="492"/>
      <c r="B197" s="384" t="s">
        <v>32</v>
      </c>
      <c r="C197" s="262"/>
      <c r="D197" s="262"/>
      <c r="E197" s="385">
        <v>40200</v>
      </c>
      <c r="F197" s="385">
        <v>39690</v>
      </c>
      <c r="G197" s="397">
        <f t="shared" ref="G197" si="22">F197/E197*100</f>
        <v>98.731343283582078</v>
      </c>
      <c r="H197" s="403"/>
      <c r="I197" s="385">
        <f>'2019'!E197+'2017'!E150+'2018'!E166</f>
        <v>353091</v>
      </c>
      <c r="J197" s="385">
        <f>'2019'!F197+'2017'!F150+'2018'!F166</f>
        <v>352488.05000000005</v>
      </c>
      <c r="K197" s="390">
        <f t="shared" si="21"/>
        <v>99.829236655706339</v>
      </c>
      <c r="L197" s="403"/>
      <c r="M197" s="262"/>
    </row>
    <row r="198" spans="1:16" ht="45" x14ac:dyDescent="0.25">
      <c r="A198" s="492">
        <v>43</v>
      </c>
      <c r="B198" s="384" t="s">
        <v>456</v>
      </c>
      <c r="C198" s="262" t="s">
        <v>21</v>
      </c>
      <c r="D198" s="262" t="s">
        <v>583</v>
      </c>
      <c r="E198" s="385"/>
      <c r="F198" s="385"/>
      <c r="G198" s="397"/>
      <c r="H198" s="403"/>
      <c r="I198" s="401">
        <f>I199</f>
        <v>750000</v>
      </c>
      <c r="J198" s="401">
        <f>J199</f>
        <v>739553.17</v>
      </c>
      <c r="K198" s="386">
        <f t="shared" si="21"/>
        <v>98.607089333333349</v>
      </c>
      <c r="L198" s="403">
        <v>100</v>
      </c>
      <c r="M198" s="262"/>
    </row>
    <row r="199" spans="1:16" x14ac:dyDescent="0.25">
      <c r="A199" s="492"/>
      <c r="B199" s="387" t="s">
        <v>22</v>
      </c>
      <c r="C199" s="262"/>
      <c r="D199" s="262"/>
      <c r="E199" s="389"/>
      <c r="F199" s="389"/>
      <c r="G199" s="397"/>
      <c r="H199" s="403"/>
      <c r="I199" s="389">
        <f>'2016'!E123+'2018'!E168</f>
        <v>750000</v>
      </c>
      <c r="J199" s="389">
        <f>'2016'!F123+'2018'!F168</f>
        <v>739553.17</v>
      </c>
      <c r="K199" s="390">
        <f t="shared" si="21"/>
        <v>98.607089333333349</v>
      </c>
      <c r="L199" s="403"/>
      <c r="M199" s="262"/>
    </row>
    <row r="200" spans="1:16" x14ac:dyDescent="0.25">
      <c r="A200" s="492"/>
      <c r="B200" s="394" t="s">
        <v>54</v>
      </c>
      <c r="C200" s="262"/>
      <c r="D200" s="262"/>
      <c r="E200" s="396">
        <f>E201</f>
        <v>40200</v>
      </c>
      <c r="F200" s="396">
        <f>F201</f>
        <v>39690</v>
      </c>
      <c r="G200" s="399">
        <f>F200/E200*100</f>
        <v>98.731343283582078</v>
      </c>
      <c r="H200" s="261"/>
      <c r="I200" s="396">
        <f>I201</f>
        <v>1460539</v>
      </c>
      <c r="J200" s="396">
        <f>J201</f>
        <v>1444441.77</v>
      </c>
      <c r="K200" s="396">
        <f t="shared" si="21"/>
        <v>98.897856887080721</v>
      </c>
      <c r="L200" s="261"/>
      <c r="M200" s="262"/>
    </row>
    <row r="201" spans="1:16" s="155" customFormat="1" x14ac:dyDescent="0.25">
      <c r="A201" s="492"/>
      <c r="B201" s="387" t="s">
        <v>22</v>
      </c>
      <c r="C201" s="388"/>
      <c r="D201" s="388"/>
      <c r="E201" s="390">
        <f>E194+E199</f>
        <v>40200</v>
      </c>
      <c r="F201" s="390">
        <f>F194+F199</f>
        <v>39690</v>
      </c>
      <c r="G201" s="400">
        <f>F201/E201*100</f>
        <v>98.731343283582078</v>
      </c>
      <c r="H201" s="391"/>
      <c r="I201" s="389">
        <f>I199+I194</f>
        <v>1460539</v>
      </c>
      <c r="J201" s="389">
        <f>J199+J194</f>
        <v>1444441.77</v>
      </c>
      <c r="K201" s="390">
        <f t="shared" si="21"/>
        <v>98.897856887080721</v>
      </c>
      <c r="L201" s="391"/>
      <c r="M201" s="388"/>
    </row>
    <row r="202" spans="1:16" x14ac:dyDescent="0.25">
      <c r="A202" s="564" t="s">
        <v>23</v>
      </c>
      <c r="B202" s="564"/>
      <c r="C202" s="564"/>
      <c r="D202" s="564"/>
      <c r="E202" s="564"/>
      <c r="F202" s="564"/>
      <c r="G202" s="564"/>
      <c r="H202" s="564"/>
      <c r="I202" s="564"/>
      <c r="J202" s="564"/>
      <c r="K202" s="564"/>
      <c r="L202" s="564"/>
      <c r="M202" s="564"/>
    </row>
    <row r="203" spans="1:16" ht="90" x14ac:dyDescent="0.25">
      <c r="A203" s="492">
        <v>44</v>
      </c>
      <c r="B203" s="384" t="s">
        <v>288</v>
      </c>
      <c r="C203" s="262" t="s">
        <v>17</v>
      </c>
      <c r="D203" s="262" t="s">
        <v>15</v>
      </c>
      <c r="E203" s="262" t="s">
        <v>18</v>
      </c>
      <c r="F203" s="386"/>
      <c r="G203" s="262"/>
      <c r="H203" s="503">
        <v>100</v>
      </c>
      <c r="I203" s="503"/>
      <c r="J203" s="503"/>
      <c r="K203" s="503"/>
      <c r="L203" s="503">
        <v>100</v>
      </c>
      <c r="M203" s="471"/>
    </row>
    <row r="204" spans="1:16" x14ac:dyDescent="0.25">
      <c r="A204" s="492"/>
      <c r="B204" s="387" t="s">
        <v>19</v>
      </c>
      <c r="C204" s="262"/>
      <c r="D204" s="262"/>
      <c r="E204" s="262"/>
      <c r="F204" s="262"/>
      <c r="G204" s="262"/>
      <c r="H204" s="261"/>
      <c r="I204" s="261"/>
      <c r="J204" s="261"/>
      <c r="K204" s="261"/>
      <c r="L204" s="261"/>
      <c r="M204" s="262"/>
    </row>
    <row r="205" spans="1:16" s="472" customFormat="1" ht="46.5" customHeight="1" x14ac:dyDescent="0.25">
      <c r="A205" s="495">
        <v>45</v>
      </c>
      <c r="B205" s="434" t="s">
        <v>584</v>
      </c>
      <c r="C205" s="495" t="s">
        <v>17</v>
      </c>
      <c r="D205" s="495" t="s">
        <v>575</v>
      </c>
      <c r="E205" s="495" t="s">
        <v>18</v>
      </c>
      <c r="F205" s="507">
        <f>F207</f>
        <v>86440</v>
      </c>
      <c r="G205" s="495"/>
      <c r="H205" s="512">
        <v>100</v>
      </c>
      <c r="I205" s="498"/>
      <c r="J205" s="507">
        <f>J207</f>
        <v>86440</v>
      </c>
      <c r="K205" s="498"/>
      <c r="L205" s="498">
        <v>100</v>
      </c>
      <c r="M205" s="495"/>
      <c r="N205" s="504"/>
      <c r="O205" s="504"/>
      <c r="P205" s="504"/>
    </row>
    <row r="206" spans="1:16" s="472" customFormat="1" ht="15" customHeight="1" x14ac:dyDescent="0.25">
      <c r="A206" s="495"/>
      <c r="B206" s="505" t="s">
        <v>22</v>
      </c>
      <c r="C206" s="495"/>
      <c r="D206" s="495"/>
      <c r="E206" s="495"/>
      <c r="F206" s="495"/>
      <c r="G206" s="495"/>
      <c r="H206" s="498"/>
      <c r="I206" s="498"/>
      <c r="J206" s="498"/>
      <c r="K206" s="498"/>
      <c r="L206" s="498"/>
      <c r="M206" s="495"/>
      <c r="N206" s="504"/>
      <c r="O206" s="504"/>
      <c r="P206" s="504"/>
    </row>
    <row r="207" spans="1:16" x14ac:dyDescent="0.25">
      <c r="A207" s="495"/>
      <c r="B207" s="505" t="s">
        <v>19</v>
      </c>
      <c r="C207" s="495"/>
      <c r="D207" s="495"/>
      <c r="E207" s="495"/>
      <c r="F207" s="390">
        <v>86440</v>
      </c>
      <c r="G207" s="495"/>
      <c r="H207" s="498"/>
      <c r="I207" s="498"/>
      <c r="J207" s="390">
        <f>F207</f>
        <v>86440</v>
      </c>
      <c r="K207" s="498"/>
      <c r="L207" s="498"/>
      <c r="M207" s="495"/>
      <c r="N207" s="504"/>
      <c r="O207" s="504"/>
      <c r="P207" s="504"/>
    </row>
    <row r="208" spans="1:16" s="472" customFormat="1" x14ac:dyDescent="0.25">
      <c r="A208" s="495"/>
      <c r="B208" s="506" t="s">
        <v>54</v>
      </c>
      <c r="C208" s="495"/>
      <c r="D208" s="495"/>
      <c r="E208" s="495"/>
      <c r="F208" s="508">
        <f>F209+F210</f>
        <v>86440</v>
      </c>
      <c r="G208" s="495"/>
      <c r="H208" s="498"/>
      <c r="I208" s="498"/>
      <c r="J208" s="508">
        <f>J209+J210</f>
        <v>86440</v>
      </c>
      <c r="K208" s="498"/>
      <c r="L208" s="498"/>
      <c r="M208" s="495"/>
      <c r="N208" s="504"/>
      <c r="O208" s="504"/>
      <c r="P208" s="504"/>
    </row>
    <row r="209" spans="1:16" s="472" customFormat="1" x14ac:dyDescent="0.25">
      <c r="A209" s="495"/>
      <c r="B209" s="505" t="s">
        <v>22</v>
      </c>
      <c r="C209" s="495"/>
      <c r="D209" s="495"/>
      <c r="E209" s="495"/>
      <c r="F209" s="495"/>
      <c r="G209" s="495"/>
      <c r="H209" s="498"/>
      <c r="I209" s="498"/>
      <c r="J209" s="495"/>
      <c r="K209" s="498"/>
      <c r="L209" s="498"/>
      <c r="M209" s="495"/>
      <c r="N209" s="504"/>
      <c r="O209" s="504"/>
      <c r="P209" s="504"/>
    </row>
    <row r="210" spans="1:16" x14ac:dyDescent="0.25">
      <c r="A210" s="492"/>
      <c r="B210" s="387" t="s">
        <v>19</v>
      </c>
      <c r="C210" s="262"/>
      <c r="D210" s="262"/>
      <c r="E210" s="262"/>
      <c r="F210" s="390">
        <f>F207</f>
        <v>86440</v>
      </c>
      <c r="G210" s="262"/>
      <c r="H210" s="261"/>
      <c r="I210" s="261"/>
      <c r="J210" s="390">
        <f>J207</f>
        <v>86440</v>
      </c>
      <c r="K210" s="261"/>
      <c r="L210" s="261"/>
      <c r="M210" s="262"/>
    </row>
    <row r="211" spans="1:16" x14ac:dyDescent="0.25">
      <c r="A211" s="564" t="s">
        <v>24</v>
      </c>
      <c r="B211" s="564"/>
      <c r="C211" s="564"/>
      <c r="D211" s="564"/>
      <c r="E211" s="564"/>
      <c r="F211" s="564"/>
      <c r="G211" s="564"/>
      <c r="H211" s="564"/>
      <c r="I211" s="564"/>
      <c r="J211" s="564"/>
      <c r="K211" s="564"/>
      <c r="L211" s="564"/>
      <c r="M211" s="564"/>
    </row>
    <row r="212" spans="1:16" ht="75" x14ac:dyDescent="0.25">
      <c r="A212" s="492">
        <v>46</v>
      </c>
      <c r="B212" s="384" t="s">
        <v>459</v>
      </c>
      <c r="C212" s="262" t="s">
        <v>14</v>
      </c>
      <c r="D212" s="262" t="s">
        <v>16</v>
      </c>
      <c r="E212" s="401">
        <f>E213</f>
        <v>31734</v>
      </c>
      <c r="F212" s="401">
        <f>F213</f>
        <v>31734</v>
      </c>
      <c r="G212" s="397">
        <f>F212/E212*100</f>
        <v>100</v>
      </c>
      <c r="H212" s="261">
        <v>100</v>
      </c>
      <c r="I212" s="401">
        <f>I213</f>
        <v>108808.8</v>
      </c>
      <c r="J212" s="401">
        <f>J213</f>
        <v>108805</v>
      </c>
      <c r="K212" s="397">
        <f>J212/I212*100</f>
        <v>99.996507635411831</v>
      </c>
      <c r="L212" s="261">
        <v>100</v>
      </c>
      <c r="M212" s="444"/>
    </row>
    <row r="213" spans="1:16" s="155" customFormat="1" x14ac:dyDescent="0.25">
      <c r="A213" s="492"/>
      <c r="B213" s="387" t="s">
        <v>13</v>
      </c>
      <c r="C213" s="388"/>
      <c r="D213" s="388"/>
      <c r="E213" s="389">
        <v>31734</v>
      </c>
      <c r="F213" s="389">
        <v>31734</v>
      </c>
      <c r="G213" s="400">
        <f>F213/E213*100</f>
        <v>100</v>
      </c>
      <c r="H213" s="391"/>
      <c r="I213" s="389">
        <f>E213+'2016'!E133+'2017'!E160+'2018'!E178</f>
        <v>108808.8</v>
      </c>
      <c r="J213" s="389">
        <f>F213+'2016'!F133+'2017'!F160+'2018'!F178</f>
        <v>108805</v>
      </c>
      <c r="K213" s="400">
        <f>J213/I213*100</f>
        <v>99.996507635411831</v>
      </c>
      <c r="L213" s="391"/>
      <c r="M213" s="447"/>
    </row>
    <row r="214" spans="1:16" x14ac:dyDescent="0.25">
      <c r="A214" s="492"/>
      <c r="B214" s="394" t="s">
        <v>54</v>
      </c>
      <c r="C214" s="262"/>
      <c r="D214" s="262"/>
      <c r="E214" s="395">
        <f>E215</f>
        <v>31734</v>
      </c>
      <c r="F214" s="395">
        <f>F215</f>
        <v>31734</v>
      </c>
      <c r="G214" s="399">
        <f>F214/E214*100</f>
        <v>100</v>
      </c>
      <c r="H214" s="261"/>
      <c r="I214" s="395">
        <f>I215</f>
        <v>108808.8</v>
      </c>
      <c r="J214" s="395">
        <f>J215</f>
        <v>108805</v>
      </c>
      <c r="K214" s="399">
        <f>J214/I214*100</f>
        <v>99.996507635411831</v>
      </c>
      <c r="L214" s="261"/>
      <c r="M214" s="444"/>
    </row>
    <row r="215" spans="1:16" s="155" customFormat="1" x14ac:dyDescent="0.25">
      <c r="A215" s="492"/>
      <c r="B215" s="387" t="s">
        <v>13</v>
      </c>
      <c r="C215" s="388"/>
      <c r="D215" s="388"/>
      <c r="E215" s="389">
        <v>31734</v>
      </c>
      <c r="F215" s="389">
        <v>31734</v>
      </c>
      <c r="G215" s="400">
        <f>F215/E215*100</f>
        <v>100</v>
      </c>
      <c r="H215" s="391"/>
      <c r="I215" s="389">
        <f>E215+'2016'!E135+'2017'!E162+'2018'!E180</f>
        <v>108808.8</v>
      </c>
      <c r="J215" s="389">
        <f>F215+'2016'!F135+'2017'!F162+'2018'!F180</f>
        <v>108805</v>
      </c>
      <c r="K215" s="400">
        <f>J215/I215*100</f>
        <v>99.996507635411831</v>
      </c>
      <c r="L215" s="391"/>
      <c r="M215" s="447"/>
    </row>
    <row r="216" spans="1:16" s="155" customFormat="1" ht="15" customHeight="1" x14ac:dyDescent="0.25">
      <c r="A216" s="564" t="s">
        <v>354</v>
      </c>
      <c r="B216" s="564"/>
      <c r="C216" s="564"/>
      <c r="D216" s="564"/>
      <c r="E216" s="564"/>
      <c r="F216" s="564"/>
      <c r="G216" s="564"/>
      <c r="H216" s="564"/>
      <c r="I216" s="564"/>
      <c r="J216" s="564"/>
      <c r="K216" s="564"/>
      <c r="L216" s="564"/>
      <c r="M216" s="564"/>
    </row>
    <row r="217" spans="1:16" s="155" customFormat="1" ht="93.75" customHeight="1" x14ac:dyDescent="0.25">
      <c r="A217" s="492">
        <v>47</v>
      </c>
      <c r="B217" s="384" t="s">
        <v>682</v>
      </c>
      <c r="C217" s="467" t="s">
        <v>356</v>
      </c>
      <c r="D217" s="467">
        <v>2016</v>
      </c>
      <c r="E217" s="389"/>
      <c r="F217" s="389"/>
      <c r="G217" s="400"/>
      <c r="H217" s="391"/>
      <c r="I217" s="385">
        <v>0</v>
      </c>
      <c r="J217" s="385">
        <v>0</v>
      </c>
      <c r="K217" s="400"/>
      <c r="L217" s="468">
        <v>100</v>
      </c>
      <c r="M217" s="447"/>
    </row>
    <row r="218" spans="1:16" s="155" customFormat="1" ht="15" customHeight="1" x14ac:dyDescent="0.25">
      <c r="A218" s="492"/>
      <c r="B218" s="387" t="s">
        <v>13</v>
      </c>
      <c r="C218" s="388"/>
      <c r="D218" s="388"/>
      <c r="E218" s="389"/>
      <c r="F218" s="389"/>
      <c r="G218" s="400"/>
      <c r="H218" s="391"/>
      <c r="I218" s="389">
        <v>0</v>
      </c>
      <c r="J218" s="389">
        <v>0</v>
      </c>
      <c r="K218" s="400"/>
      <c r="L218" s="391"/>
      <c r="M218" s="447"/>
    </row>
    <row r="219" spans="1:16" s="155" customFormat="1" ht="15" customHeight="1" x14ac:dyDescent="0.25">
      <c r="A219" s="492"/>
      <c r="B219" s="394" t="s">
        <v>54</v>
      </c>
      <c r="C219" s="388"/>
      <c r="D219" s="388"/>
      <c r="E219" s="389"/>
      <c r="F219" s="389"/>
      <c r="G219" s="400"/>
      <c r="H219" s="391"/>
      <c r="I219" s="395">
        <v>0</v>
      </c>
      <c r="J219" s="395">
        <v>0</v>
      </c>
      <c r="K219" s="400"/>
      <c r="L219" s="391"/>
      <c r="M219" s="447"/>
    </row>
    <row r="220" spans="1:16" s="155" customFormat="1" ht="15" customHeight="1" x14ac:dyDescent="0.25">
      <c r="A220" s="492"/>
      <c r="B220" s="387" t="s">
        <v>13</v>
      </c>
      <c r="C220" s="388"/>
      <c r="D220" s="388"/>
      <c r="E220" s="389"/>
      <c r="F220" s="389"/>
      <c r="G220" s="400"/>
      <c r="H220" s="391"/>
      <c r="I220" s="389">
        <v>0</v>
      </c>
      <c r="J220" s="389">
        <v>0</v>
      </c>
      <c r="K220" s="400"/>
      <c r="L220" s="391"/>
      <c r="M220" s="447"/>
    </row>
    <row r="221" spans="1:16" x14ac:dyDescent="0.25">
      <c r="A221" s="564" t="s">
        <v>25</v>
      </c>
      <c r="B221" s="564"/>
      <c r="C221" s="564"/>
      <c r="D221" s="564"/>
      <c r="E221" s="564"/>
      <c r="F221" s="564"/>
      <c r="G221" s="564"/>
      <c r="H221" s="564"/>
      <c r="I221" s="564"/>
      <c r="J221" s="564"/>
      <c r="K221" s="564"/>
      <c r="L221" s="564"/>
      <c r="M221" s="564"/>
    </row>
    <row r="222" spans="1:16" ht="48.75" customHeight="1" x14ac:dyDescent="0.25">
      <c r="A222" s="492">
        <v>48</v>
      </c>
      <c r="B222" s="384" t="s">
        <v>585</v>
      </c>
      <c r="C222" s="467" t="s">
        <v>50</v>
      </c>
      <c r="D222" s="467">
        <v>2019</v>
      </c>
      <c r="E222" s="401">
        <f>E223</f>
        <v>30000</v>
      </c>
      <c r="F222" s="401">
        <f>F223</f>
        <v>30000</v>
      </c>
      <c r="G222" s="397">
        <f>F222/E222*100</f>
        <v>100</v>
      </c>
      <c r="H222" s="467">
        <v>100</v>
      </c>
      <c r="I222" s="401">
        <f>I223</f>
        <v>30000</v>
      </c>
      <c r="J222" s="401">
        <f>J223</f>
        <v>30000</v>
      </c>
      <c r="K222" s="397">
        <f>J222/I222*100</f>
        <v>100</v>
      </c>
      <c r="L222" s="467">
        <v>100</v>
      </c>
      <c r="M222" s="467"/>
    </row>
    <row r="223" spans="1:16" x14ac:dyDescent="0.25">
      <c r="A223" s="492"/>
      <c r="B223" s="387" t="s">
        <v>13</v>
      </c>
      <c r="C223" s="467"/>
      <c r="D223" s="467"/>
      <c r="E223" s="389">
        <v>30000</v>
      </c>
      <c r="F223" s="389">
        <v>30000</v>
      </c>
      <c r="G223" s="400">
        <f>F223/E223*100</f>
        <v>100</v>
      </c>
      <c r="H223" s="467"/>
      <c r="I223" s="389">
        <f>E223</f>
        <v>30000</v>
      </c>
      <c r="J223" s="389">
        <f>F223</f>
        <v>30000</v>
      </c>
      <c r="K223" s="400">
        <f>J223/I223*100</f>
        <v>100</v>
      </c>
      <c r="L223" s="467"/>
      <c r="M223" s="467"/>
    </row>
    <row r="224" spans="1:16" ht="90" x14ac:dyDescent="0.25">
      <c r="A224" s="492">
        <v>49</v>
      </c>
      <c r="B224" s="384" t="s">
        <v>39</v>
      </c>
      <c r="C224" s="467" t="s">
        <v>17</v>
      </c>
      <c r="D224" s="467" t="s">
        <v>45</v>
      </c>
      <c r="E224" s="389"/>
      <c r="F224" s="385">
        <f>F225</f>
        <v>0</v>
      </c>
      <c r="G224" s="400"/>
      <c r="H224" s="467"/>
      <c r="I224" s="401">
        <f>I225</f>
        <v>100000</v>
      </c>
      <c r="J224" s="401">
        <f>J225</f>
        <v>15210</v>
      </c>
      <c r="K224" s="397">
        <f>J224/I224*100</f>
        <v>15.21</v>
      </c>
      <c r="L224" s="467">
        <v>15</v>
      </c>
      <c r="M224" s="467"/>
    </row>
    <row r="225" spans="1:16" ht="17.25" customHeight="1" x14ac:dyDescent="0.25">
      <c r="A225" s="492"/>
      <c r="B225" s="387" t="s">
        <v>19</v>
      </c>
      <c r="C225" s="467"/>
      <c r="D225" s="467"/>
      <c r="E225" s="389"/>
      <c r="F225" s="389"/>
      <c r="G225" s="400"/>
      <c r="H225" s="467"/>
      <c r="I225" s="389">
        <f>'2016'!E143+'2017'!E165</f>
        <v>100000</v>
      </c>
      <c r="J225" s="404">
        <v>15210</v>
      </c>
      <c r="K225" s="400">
        <f t="shared" ref="K225" si="23">J225/I225*100</f>
        <v>15.21</v>
      </c>
      <c r="L225" s="467"/>
      <c r="M225" s="467"/>
    </row>
    <row r="226" spans="1:16" s="504" customFormat="1" ht="105" x14ac:dyDescent="0.25">
      <c r="A226" s="495">
        <v>50</v>
      </c>
      <c r="B226" s="434" t="s">
        <v>39</v>
      </c>
      <c r="C226" s="495" t="s">
        <v>460</v>
      </c>
      <c r="D226" s="495" t="s">
        <v>445</v>
      </c>
      <c r="E226" s="495"/>
      <c r="F226" s="385">
        <f>F227</f>
        <v>5625</v>
      </c>
      <c r="G226" s="507"/>
      <c r="H226" s="498">
        <v>50</v>
      </c>
      <c r="I226" s="509">
        <f>I227</f>
        <v>0</v>
      </c>
      <c r="J226" s="509">
        <f>J227</f>
        <v>35263425</v>
      </c>
      <c r="K226" s="498"/>
      <c r="L226" s="511">
        <v>75</v>
      </c>
      <c r="M226" s="434" t="s">
        <v>686</v>
      </c>
    </row>
    <row r="227" spans="1:16" x14ac:dyDescent="0.25">
      <c r="A227" s="492"/>
      <c r="B227" s="387" t="s">
        <v>19</v>
      </c>
      <c r="C227" s="467"/>
      <c r="D227" s="467"/>
      <c r="E227" s="467"/>
      <c r="F227" s="390">
        <v>5625</v>
      </c>
      <c r="G227" s="386"/>
      <c r="H227" s="468"/>
      <c r="I227" s="389">
        <f>E227+'2018'!E183</f>
        <v>0</v>
      </c>
      <c r="J227" s="389">
        <f>F227+'2018'!F183</f>
        <v>35263425</v>
      </c>
      <c r="K227" s="468"/>
      <c r="L227" s="468"/>
      <c r="M227" s="445"/>
    </row>
    <row r="228" spans="1:16" x14ac:dyDescent="0.25">
      <c r="A228" s="492"/>
      <c r="B228" s="394" t="s">
        <v>54</v>
      </c>
      <c r="C228" s="262"/>
      <c r="D228" s="262"/>
      <c r="E228" s="395">
        <f>E229+E230</f>
        <v>30000</v>
      </c>
      <c r="F228" s="395">
        <f t="shared" ref="F228:G228" si="24">F229+F230</f>
        <v>35625</v>
      </c>
      <c r="G228" s="396">
        <f t="shared" si="24"/>
        <v>100</v>
      </c>
      <c r="H228" s="261"/>
      <c r="I228" s="395">
        <f>I229+I230</f>
        <v>130000</v>
      </c>
      <c r="J228" s="395">
        <f t="shared" ref="J228:K228" si="25">J229+J230</f>
        <v>35308635</v>
      </c>
      <c r="K228" s="396">
        <f t="shared" si="25"/>
        <v>100</v>
      </c>
      <c r="L228" s="261"/>
      <c r="M228" s="444"/>
    </row>
    <row r="229" spans="1:16" x14ac:dyDescent="0.25">
      <c r="A229" s="492"/>
      <c r="B229" s="387" t="s">
        <v>13</v>
      </c>
      <c r="C229" s="467"/>
      <c r="D229" s="467"/>
      <c r="E229" s="389">
        <f>E223</f>
        <v>30000</v>
      </c>
      <c r="F229" s="389">
        <f>F223</f>
        <v>30000</v>
      </c>
      <c r="G229" s="400">
        <f>F229/E229*100</f>
        <v>100</v>
      </c>
      <c r="H229" s="468"/>
      <c r="I229" s="389">
        <f>I223</f>
        <v>30000</v>
      </c>
      <c r="J229" s="389">
        <f>J223</f>
        <v>30000</v>
      </c>
      <c r="K229" s="400">
        <f>J229/I229*100</f>
        <v>100</v>
      </c>
      <c r="L229" s="468"/>
      <c r="M229" s="444"/>
    </row>
    <row r="230" spans="1:16" s="155" customFormat="1" x14ac:dyDescent="0.25">
      <c r="A230" s="492"/>
      <c r="B230" s="387" t="s">
        <v>19</v>
      </c>
      <c r="C230" s="388"/>
      <c r="D230" s="388"/>
      <c r="E230" s="389">
        <f>E225+E227</f>
        <v>0</v>
      </c>
      <c r="F230" s="389">
        <f>F225+F227</f>
        <v>5625</v>
      </c>
      <c r="G230" s="400"/>
      <c r="H230" s="391"/>
      <c r="I230" s="389">
        <f>I225+I227</f>
        <v>100000</v>
      </c>
      <c r="J230" s="389">
        <f>J225+J227</f>
        <v>35278635</v>
      </c>
      <c r="K230" s="400"/>
      <c r="L230" s="391"/>
      <c r="M230" s="447"/>
    </row>
    <row r="231" spans="1:16" s="155" customFormat="1" x14ac:dyDescent="0.25">
      <c r="A231" s="566" t="s">
        <v>360</v>
      </c>
      <c r="B231" s="567"/>
      <c r="C231" s="567"/>
      <c r="D231" s="567"/>
      <c r="E231" s="567"/>
      <c r="F231" s="567"/>
      <c r="G231" s="567"/>
      <c r="H231" s="567"/>
      <c r="I231" s="567"/>
      <c r="J231" s="567"/>
      <c r="K231" s="567"/>
      <c r="L231" s="567"/>
      <c r="M231" s="568"/>
    </row>
    <row r="232" spans="1:16" s="155" customFormat="1" ht="34.5" customHeight="1" x14ac:dyDescent="0.25">
      <c r="A232" s="492">
        <v>51</v>
      </c>
      <c r="B232" s="384" t="s">
        <v>586</v>
      </c>
      <c r="C232" s="467" t="s">
        <v>14</v>
      </c>
      <c r="D232" s="467" t="s">
        <v>587</v>
      </c>
      <c r="E232" s="385">
        <f>E233</f>
        <v>3000</v>
      </c>
      <c r="F232" s="385">
        <f>F233</f>
        <v>2982</v>
      </c>
      <c r="G232" s="386">
        <f t="shared" ref="G232" si="26">G233+G234</f>
        <v>99.4</v>
      </c>
      <c r="H232" s="511">
        <v>100</v>
      </c>
      <c r="I232" s="385">
        <f>I233</f>
        <v>6000</v>
      </c>
      <c r="J232" s="385">
        <f>J233</f>
        <v>5970.08</v>
      </c>
      <c r="K232" s="397">
        <f>J232/I232*100</f>
        <v>99.501333333333335</v>
      </c>
      <c r="L232" s="511">
        <v>100</v>
      </c>
      <c r="M232" s="447"/>
    </row>
    <row r="233" spans="1:16" s="155" customFormat="1" x14ac:dyDescent="0.25">
      <c r="A233" s="492"/>
      <c r="B233" s="387" t="s">
        <v>13</v>
      </c>
      <c r="C233" s="388"/>
      <c r="D233" s="388"/>
      <c r="E233" s="389">
        <v>3000</v>
      </c>
      <c r="F233" s="389">
        <v>2982</v>
      </c>
      <c r="G233" s="400">
        <f>F233/E233*100</f>
        <v>99.4</v>
      </c>
      <c r="H233" s="391"/>
      <c r="I233" s="389">
        <f>E233+'2016'!E148</f>
        <v>6000</v>
      </c>
      <c r="J233" s="389">
        <f>F233+'2016'!F148</f>
        <v>5970.08</v>
      </c>
      <c r="K233" s="400">
        <f>J233/I233*100</f>
        <v>99.501333333333335</v>
      </c>
      <c r="L233" s="391"/>
      <c r="M233" s="447"/>
    </row>
    <row r="234" spans="1:16" s="155" customFormat="1" ht="60" x14ac:dyDescent="0.25">
      <c r="A234" s="492">
        <v>52</v>
      </c>
      <c r="B234" s="384" t="s">
        <v>588</v>
      </c>
      <c r="C234" s="467" t="s">
        <v>14</v>
      </c>
      <c r="D234" s="467" t="s">
        <v>589</v>
      </c>
      <c r="E234" s="390"/>
      <c r="F234" s="390"/>
      <c r="G234" s="400"/>
      <c r="H234" s="391"/>
      <c r="I234" s="385">
        <f>I235</f>
        <v>2000</v>
      </c>
      <c r="J234" s="385">
        <f>J235</f>
        <v>1999.9</v>
      </c>
      <c r="K234" s="397">
        <f>J234/I234*100</f>
        <v>99.995000000000005</v>
      </c>
      <c r="L234" s="468">
        <v>100</v>
      </c>
      <c r="M234" s="447"/>
    </row>
    <row r="235" spans="1:16" s="155" customFormat="1" x14ac:dyDescent="0.25">
      <c r="A235" s="492"/>
      <c r="B235" s="387" t="s">
        <v>13</v>
      </c>
      <c r="C235" s="388"/>
      <c r="D235" s="388"/>
      <c r="E235" s="390"/>
      <c r="F235" s="390"/>
      <c r="G235" s="400"/>
      <c r="H235" s="391"/>
      <c r="I235" s="389">
        <f>'2016'!E150</f>
        <v>2000</v>
      </c>
      <c r="J235" s="389">
        <f>'2016'!F150</f>
        <v>1999.9</v>
      </c>
      <c r="K235" s="400">
        <f>J235/I235*100</f>
        <v>99.995000000000005</v>
      </c>
      <c r="L235" s="391"/>
      <c r="M235" s="447"/>
    </row>
    <row r="236" spans="1:16" s="155" customFormat="1" x14ac:dyDescent="0.25">
      <c r="A236" s="493"/>
      <c r="B236" s="394" t="s">
        <v>54</v>
      </c>
      <c r="C236" s="384"/>
      <c r="D236" s="467"/>
      <c r="E236" s="395">
        <f>E237</f>
        <v>3000</v>
      </c>
      <c r="F236" s="395">
        <f>F237</f>
        <v>2982</v>
      </c>
      <c r="G236" s="396">
        <f t="shared" ref="G236" si="27">G237+G238</f>
        <v>99.4</v>
      </c>
      <c r="H236" s="400"/>
      <c r="I236" s="395">
        <f>I237</f>
        <v>8000</v>
      </c>
      <c r="J236" s="395">
        <f>J237</f>
        <v>7969.98</v>
      </c>
      <c r="K236" s="396">
        <f t="shared" ref="K236" si="28">K237+K238</f>
        <v>99.624749999999992</v>
      </c>
      <c r="L236" s="386"/>
      <c r="M236" s="468"/>
      <c r="N236" s="447"/>
    </row>
    <row r="237" spans="1:16" s="155" customFormat="1" x14ac:dyDescent="0.25">
      <c r="A237" s="493"/>
      <c r="B237" s="387" t="s">
        <v>13</v>
      </c>
      <c r="C237" s="387"/>
      <c r="D237" s="388"/>
      <c r="E237" s="389">
        <f>E233+E235</f>
        <v>3000</v>
      </c>
      <c r="F237" s="389">
        <f>F233+F235</f>
        <v>2982</v>
      </c>
      <c r="G237" s="400">
        <f>F237/E237*100</f>
        <v>99.4</v>
      </c>
      <c r="H237" s="400"/>
      <c r="I237" s="389">
        <f>I233+I235</f>
        <v>8000</v>
      </c>
      <c r="J237" s="389">
        <f>J233+J235</f>
        <v>7969.98</v>
      </c>
      <c r="K237" s="400">
        <f>J237/I237*100</f>
        <v>99.624749999999992</v>
      </c>
      <c r="L237" s="400"/>
      <c r="M237" s="391"/>
      <c r="N237" s="447"/>
    </row>
    <row r="238" spans="1:16" s="155" customFormat="1" ht="15" customHeight="1" x14ac:dyDescent="0.25">
      <c r="A238" s="566" t="s">
        <v>534</v>
      </c>
      <c r="B238" s="567"/>
      <c r="C238" s="567"/>
      <c r="D238" s="567"/>
      <c r="E238" s="567"/>
      <c r="F238" s="567"/>
      <c r="G238" s="567"/>
      <c r="H238" s="567"/>
      <c r="I238" s="567"/>
      <c r="J238" s="567"/>
      <c r="K238" s="567"/>
      <c r="L238" s="567"/>
      <c r="M238" s="568"/>
    </row>
    <row r="239" spans="1:16" s="473" customFormat="1" ht="207.75" customHeight="1" x14ac:dyDescent="0.25">
      <c r="A239" s="495">
        <v>53</v>
      </c>
      <c r="B239" s="434" t="s">
        <v>590</v>
      </c>
      <c r="C239" s="495" t="s">
        <v>21</v>
      </c>
      <c r="D239" s="495" t="s">
        <v>248</v>
      </c>
      <c r="E239" s="496">
        <f>E240</f>
        <v>50000</v>
      </c>
      <c r="F239" s="496">
        <f>F240</f>
        <v>49997.58</v>
      </c>
      <c r="G239" s="397">
        <f>F239/E239*100</f>
        <v>99.995159999999998</v>
      </c>
      <c r="H239" s="498">
        <v>100</v>
      </c>
      <c r="I239" s="496">
        <f>I240</f>
        <v>8050000</v>
      </c>
      <c r="J239" s="496">
        <f>J240</f>
        <v>523360.06</v>
      </c>
      <c r="K239" s="397">
        <f>J239/I239*100</f>
        <v>6.5013672049689442</v>
      </c>
      <c r="L239" s="498">
        <v>100</v>
      </c>
      <c r="M239" s="499" t="s">
        <v>685</v>
      </c>
      <c r="N239" s="497"/>
      <c r="O239" s="497"/>
      <c r="P239" s="497"/>
    </row>
    <row r="240" spans="1:16" s="155" customFormat="1" ht="18.75" customHeight="1" x14ac:dyDescent="0.25">
      <c r="A240" s="492"/>
      <c r="B240" s="387" t="s">
        <v>684</v>
      </c>
      <c r="C240" s="388"/>
      <c r="D240" s="388"/>
      <c r="E240" s="390">
        <v>50000</v>
      </c>
      <c r="F240" s="390">
        <v>49997.58</v>
      </c>
      <c r="G240" s="400">
        <f>F240/E240*100</f>
        <v>99.995159999999998</v>
      </c>
      <c r="H240" s="391"/>
      <c r="I240" s="389">
        <f>E240+'2017'!E170</f>
        <v>8050000</v>
      </c>
      <c r="J240" s="389">
        <f>F240+'2017'!F170</f>
        <v>523360.06</v>
      </c>
      <c r="K240" s="400">
        <f>J240/I240*100</f>
        <v>6.5013672049689442</v>
      </c>
      <c r="L240" s="391"/>
      <c r="M240" s="447"/>
    </row>
    <row r="241" spans="1:13" s="155" customFormat="1" ht="18.75" customHeight="1" x14ac:dyDescent="0.25">
      <c r="A241" s="492"/>
      <c r="B241" s="394" t="s">
        <v>54</v>
      </c>
      <c r="C241" s="388"/>
      <c r="D241" s="388"/>
      <c r="E241" s="395">
        <f>E242</f>
        <v>50000</v>
      </c>
      <c r="F241" s="395">
        <f>F242</f>
        <v>49997.58</v>
      </c>
      <c r="G241" s="399">
        <f>F241/E241*100</f>
        <v>99.995159999999998</v>
      </c>
      <c r="H241" s="391"/>
      <c r="I241" s="395">
        <f>I242</f>
        <v>8050000</v>
      </c>
      <c r="J241" s="395">
        <f>J242</f>
        <v>523360.06</v>
      </c>
      <c r="K241" s="399">
        <f>J241/I241*100</f>
        <v>6.5013672049689442</v>
      </c>
      <c r="L241" s="391"/>
      <c r="M241" s="447"/>
    </row>
    <row r="242" spans="1:13" s="155" customFormat="1" ht="18.75" customHeight="1" x14ac:dyDescent="0.25">
      <c r="A242" s="492"/>
      <c r="B242" s="387" t="s">
        <v>684</v>
      </c>
      <c r="C242" s="388"/>
      <c r="D242" s="388"/>
      <c r="E242" s="389">
        <f>E240</f>
        <v>50000</v>
      </c>
      <c r="F242" s="389">
        <f>F240</f>
        <v>49997.58</v>
      </c>
      <c r="G242" s="400">
        <f>F242/E242*100</f>
        <v>99.995159999999998</v>
      </c>
      <c r="H242" s="391"/>
      <c r="I242" s="389">
        <f>I240</f>
        <v>8050000</v>
      </c>
      <c r="J242" s="389">
        <f>J240</f>
        <v>523360.06</v>
      </c>
      <c r="K242" s="400">
        <f t="shared" ref="K242" si="29">J242/I242*100</f>
        <v>6.5013672049689442</v>
      </c>
      <c r="L242" s="391"/>
      <c r="M242" s="447"/>
    </row>
    <row r="243" spans="1:13" x14ac:dyDescent="0.25">
      <c r="A243" s="492"/>
      <c r="B243" s="394" t="s">
        <v>73</v>
      </c>
      <c r="C243" s="262"/>
      <c r="D243" s="262"/>
      <c r="E243" s="395">
        <f>E244+E245+E246</f>
        <v>175434</v>
      </c>
      <c r="F243" s="395">
        <f>F244+F245+F246</f>
        <v>266968.58</v>
      </c>
      <c r="G243" s="396">
        <f>F243/E243*100</f>
        <v>152.17607761323347</v>
      </c>
      <c r="H243" s="261"/>
      <c r="I243" s="395">
        <f>I244+I245+I246</f>
        <v>9857553.8000000007</v>
      </c>
      <c r="J243" s="395">
        <f>J244+J245+J246</f>
        <v>37579351.810000002</v>
      </c>
      <c r="K243" s="396">
        <f>J243/I243*100</f>
        <v>381.22390780154808</v>
      </c>
      <c r="L243" s="261"/>
      <c r="M243" s="444"/>
    </row>
    <row r="244" spans="1:13" x14ac:dyDescent="0.25">
      <c r="A244" s="492"/>
      <c r="B244" s="387" t="s">
        <v>13</v>
      </c>
      <c r="C244" s="262"/>
      <c r="D244" s="262"/>
      <c r="E244" s="389">
        <f>E181+E190+E215+E220+E229+E237</f>
        <v>85234</v>
      </c>
      <c r="F244" s="389">
        <f>F181+F190+F215+F220+F229+F237</f>
        <v>85216</v>
      </c>
      <c r="G244" s="390">
        <f t="shared" ref="G244:G245" si="30">F244/E244*100</f>
        <v>99.978881666940424</v>
      </c>
      <c r="H244" s="261"/>
      <c r="I244" s="389">
        <f>I181+I190+I215+I220+I229+I237</f>
        <v>247014.8</v>
      </c>
      <c r="J244" s="389">
        <f>J181+J190+J215+J220+J229+J237</f>
        <v>246474.98</v>
      </c>
      <c r="K244" s="390">
        <f t="shared" ref="K244:K246" si="31">J244/I244*100</f>
        <v>99.781462487267987</v>
      </c>
      <c r="L244" s="261"/>
      <c r="M244" s="444"/>
    </row>
    <row r="245" spans="1:13" x14ac:dyDescent="0.25">
      <c r="A245" s="492"/>
      <c r="B245" s="387" t="s">
        <v>22</v>
      </c>
      <c r="C245" s="262"/>
      <c r="D245" s="262"/>
      <c r="E245" s="389">
        <f>E201+E240</f>
        <v>90200</v>
      </c>
      <c r="F245" s="389">
        <f>F201+F240</f>
        <v>89687.58</v>
      </c>
      <c r="G245" s="390">
        <f t="shared" si="30"/>
        <v>99.431906873614196</v>
      </c>
      <c r="H245" s="261"/>
      <c r="I245" s="389">
        <f>I201+I240</f>
        <v>9510539</v>
      </c>
      <c r="J245" s="389">
        <f>J201+J240</f>
        <v>1967801.83</v>
      </c>
      <c r="K245" s="390">
        <f t="shared" si="31"/>
        <v>20.690749809237943</v>
      </c>
      <c r="L245" s="389"/>
      <c r="M245" s="444"/>
    </row>
    <row r="246" spans="1:13" x14ac:dyDescent="0.25">
      <c r="A246" s="492"/>
      <c r="B246" s="387" t="s">
        <v>53</v>
      </c>
      <c r="C246" s="262"/>
      <c r="D246" s="262"/>
      <c r="E246" s="389">
        <f>E191++E210+E230</f>
        <v>0</v>
      </c>
      <c r="F246" s="389">
        <f>F191++F210+F230</f>
        <v>92065</v>
      </c>
      <c r="G246" s="390"/>
      <c r="H246" s="261"/>
      <c r="I246" s="389">
        <f>I191++I210+I230</f>
        <v>100000</v>
      </c>
      <c r="J246" s="389">
        <f>J191++J210+J230</f>
        <v>35365075</v>
      </c>
      <c r="K246" s="390">
        <f t="shared" si="31"/>
        <v>35365.075000000004</v>
      </c>
      <c r="L246" s="389"/>
      <c r="M246" s="444"/>
    </row>
    <row r="247" spans="1:13" x14ac:dyDescent="0.25">
      <c r="A247" s="492"/>
      <c r="B247" s="387"/>
      <c r="C247" s="474"/>
      <c r="D247" s="474"/>
      <c r="E247" s="389"/>
      <c r="F247" s="389"/>
      <c r="G247" s="390"/>
      <c r="H247" s="475"/>
      <c r="I247" s="389"/>
      <c r="J247" s="389"/>
      <c r="K247" s="390"/>
      <c r="L247" s="475"/>
      <c r="M247" s="444"/>
    </row>
    <row r="248" spans="1:13" x14ac:dyDescent="0.25">
      <c r="A248" s="492"/>
      <c r="B248" s="565" t="s">
        <v>306</v>
      </c>
      <c r="C248" s="565"/>
      <c r="D248" s="565"/>
      <c r="E248" s="565"/>
      <c r="F248" s="565"/>
      <c r="G248" s="565"/>
      <c r="H248" s="565"/>
      <c r="I248" s="565"/>
      <c r="J248" s="565"/>
      <c r="K248" s="565"/>
      <c r="L248" s="565"/>
      <c r="M248" s="565"/>
    </row>
    <row r="249" spans="1:13" x14ac:dyDescent="0.25">
      <c r="A249" s="564" t="s">
        <v>145</v>
      </c>
      <c r="B249" s="564"/>
      <c r="C249" s="564"/>
      <c r="D249" s="564"/>
      <c r="E249" s="564"/>
      <c r="F249" s="564"/>
      <c r="G249" s="564"/>
      <c r="H249" s="564"/>
      <c r="I249" s="564"/>
      <c r="J249" s="564"/>
      <c r="K249" s="564"/>
      <c r="L249" s="564"/>
      <c r="M249" s="564"/>
    </row>
    <row r="250" spans="1:13" ht="210" customHeight="1" x14ac:dyDescent="0.25">
      <c r="A250" s="492">
        <v>54</v>
      </c>
      <c r="B250" s="384" t="s">
        <v>618</v>
      </c>
      <c r="C250" s="262" t="s">
        <v>14</v>
      </c>
      <c r="D250" s="262" t="s">
        <v>16</v>
      </c>
      <c r="E250" s="412">
        <f>E251</f>
        <v>39000</v>
      </c>
      <c r="F250" s="412">
        <f>F251</f>
        <v>39000</v>
      </c>
      <c r="G250" s="413">
        <f>F250/E250*100</f>
        <v>100</v>
      </c>
      <c r="H250" s="414">
        <v>100</v>
      </c>
      <c r="I250" s="412">
        <f>I251</f>
        <v>114791</v>
      </c>
      <c r="J250" s="412">
        <f>J251</f>
        <v>100850.83</v>
      </c>
      <c r="K250" s="413">
        <f>J250/I250*100</f>
        <v>87.856042721119252</v>
      </c>
      <c r="L250" s="414">
        <v>100</v>
      </c>
      <c r="M250" s="444"/>
    </row>
    <row r="251" spans="1:13" s="155" customFormat="1" x14ac:dyDescent="0.25">
      <c r="A251" s="492"/>
      <c r="B251" s="387" t="s">
        <v>13</v>
      </c>
      <c r="C251" s="388"/>
      <c r="D251" s="388"/>
      <c r="E251" s="415">
        <v>39000</v>
      </c>
      <c r="F251" s="415">
        <v>39000</v>
      </c>
      <c r="G251" s="416">
        <f>F251/E251*100</f>
        <v>100</v>
      </c>
      <c r="H251" s="417"/>
      <c r="I251" s="415">
        <f>E251+'2016'!E160+'2017'!E180+'2018'!E192</f>
        <v>114791</v>
      </c>
      <c r="J251" s="415">
        <f>F251+'2016'!F160+'2017'!F180+'2018'!F192</f>
        <v>100850.83</v>
      </c>
      <c r="K251" s="416">
        <f>J251/I251*100</f>
        <v>87.856042721119252</v>
      </c>
      <c r="L251" s="417"/>
      <c r="M251" s="447"/>
    </row>
    <row r="252" spans="1:13" ht="45" x14ac:dyDescent="0.25">
      <c r="A252" s="492">
        <v>55</v>
      </c>
      <c r="B252" s="384" t="s">
        <v>146</v>
      </c>
      <c r="C252" s="262" t="s">
        <v>14</v>
      </c>
      <c r="D252" s="262" t="s">
        <v>16</v>
      </c>
      <c r="E252" s="412">
        <f>E253</f>
        <v>4971</v>
      </c>
      <c r="F252" s="412">
        <f>F253</f>
        <v>4971</v>
      </c>
      <c r="G252" s="413">
        <f>F252/E252*100</f>
        <v>100</v>
      </c>
      <c r="H252" s="414">
        <v>100</v>
      </c>
      <c r="I252" s="412">
        <f>I253</f>
        <v>23971</v>
      </c>
      <c r="J252" s="412">
        <f>J253</f>
        <v>23971</v>
      </c>
      <c r="K252" s="413">
        <f t="shared" ref="K252:K267" si="32">J252/I252*100</f>
        <v>100</v>
      </c>
      <c r="L252" s="414">
        <v>100</v>
      </c>
      <c r="M252" s="262"/>
    </row>
    <row r="253" spans="1:13" s="155" customFormat="1" x14ac:dyDescent="0.25">
      <c r="A253" s="492"/>
      <c r="B253" s="387" t="s">
        <v>13</v>
      </c>
      <c r="C253" s="388"/>
      <c r="D253" s="388"/>
      <c r="E253" s="415">
        <v>4971</v>
      </c>
      <c r="F253" s="415">
        <v>4971</v>
      </c>
      <c r="G253" s="416">
        <f t="shared" ref="G253:G286" si="33">F253/E253*100</f>
        <v>100</v>
      </c>
      <c r="H253" s="417"/>
      <c r="I253" s="415">
        <f>E253+'2016'!E162+'2017'!E182+'2018'!E193</f>
        <v>23971</v>
      </c>
      <c r="J253" s="415">
        <f>F253+'2016'!F162+'2017'!F182+'2018'!F193</f>
        <v>23971</v>
      </c>
      <c r="K253" s="416">
        <f t="shared" si="32"/>
        <v>100</v>
      </c>
      <c r="L253" s="417"/>
      <c r="M253" s="448"/>
    </row>
    <row r="254" spans="1:13" ht="105" x14ac:dyDescent="0.25">
      <c r="A254" s="492">
        <v>56</v>
      </c>
      <c r="B254" s="384" t="s">
        <v>462</v>
      </c>
      <c r="C254" s="262" t="s">
        <v>14</v>
      </c>
      <c r="D254" s="262" t="s">
        <v>463</v>
      </c>
      <c r="E254" s="412"/>
      <c r="F254" s="412"/>
      <c r="G254" s="413"/>
      <c r="H254" s="414"/>
      <c r="I254" s="412">
        <f>I255</f>
        <v>23000</v>
      </c>
      <c r="J254" s="412">
        <f>J255</f>
        <v>7338.76</v>
      </c>
      <c r="K254" s="413">
        <f t="shared" si="32"/>
        <v>31.907652173913043</v>
      </c>
      <c r="L254" s="414">
        <v>100</v>
      </c>
      <c r="M254" s="444"/>
    </row>
    <row r="255" spans="1:13" s="155" customFormat="1" x14ac:dyDescent="0.25">
      <c r="A255" s="492"/>
      <c r="B255" s="387" t="s">
        <v>13</v>
      </c>
      <c r="C255" s="388"/>
      <c r="D255" s="388"/>
      <c r="E255" s="415"/>
      <c r="F255" s="415"/>
      <c r="G255" s="416"/>
      <c r="H255" s="417"/>
      <c r="I255" s="415">
        <f>'2016'!E164+'2018'!E196</f>
        <v>23000</v>
      </c>
      <c r="J255" s="415">
        <f>'2016'!F164+'2018'!F196</f>
        <v>7338.76</v>
      </c>
      <c r="K255" s="416">
        <f t="shared" si="32"/>
        <v>31.907652173913043</v>
      </c>
      <c r="L255" s="417"/>
      <c r="M255" s="447"/>
    </row>
    <row r="256" spans="1:13" s="155" customFormat="1" ht="60" x14ac:dyDescent="0.25">
      <c r="A256" s="492">
        <v>57</v>
      </c>
      <c r="B256" s="384" t="s">
        <v>371</v>
      </c>
      <c r="C256" s="474" t="s">
        <v>14</v>
      </c>
      <c r="D256" s="474">
        <v>2016</v>
      </c>
      <c r="E256" s="415"/>
      <c r="F256" s="415"/>
      <c r="G256" s="416"/>
      <c r="H256" s="417"/>
      <c r="I256" s="412">
        <f>I257</f>
        <v>30000</v>
      </c>
      <c r="J256" s="412">
        <f>J257</f>
        <v>29900</v>
      </c>
      <c r="K256" s="413">
        <f t="shared" si="32"/>
        <v>99.666666666666671</v>
      </c>
      <c r="L256" s="414">
        <v>100</v>
      </c>
      <c r="M256" s="447"/>
    </row>
    <row r="257" spans="1:13" s="155" customFormat="1" x14ac:dyDescent="0.25">
      <c r="A257" s="492"/>
      <c r="B257" s="387" t="s">
        <v>13</v>
      </c>
      <c r="C257" s="388"/>
      <c r="D257" s="474"/>
      <c r="E257" s="415"/>
      <c r="F257" s="415"/>
      <c r="G257" s="416"/>
      <c r="H257" s="417"/>
      <c r="I257" s="415">
        <f>'2016'!E166</f>
        <v>30000</v>
      </c>
      <c r="J257" s="415">
        <f>'2016'!F166</f>
        <v>29900</v>
      </c>
      <c r="K257" s="416">
        <f t="shared" si="32"/>
        <v>99.666666666666671</v>
      </c>
      <c r="L257" s="417"/>
      <c r="M257" s="447"/>
    </row>
    <row r="258" spans="1:13" s="155" customFormat="1" ht="45" x14ac:dyDescent="0.25">
      <c r="A258" s="492">
        <v>58</v>
      </c>
      <c r="B258" s="384" t="s">
        <v>147</v>
      </c>
      <c r="C258" s="474" t="s">
        <v>14</v>
      </c>
      <c r="D258" s="474" t="s">
        <v>619</v>
      </c>
      <c r="E258" s="415"/>
      <c r="F258" s="415"/>
      <c r="G258" s="416"/>
      <c r="H258" s="417"/>
      <c r="I258" s="412">
        <f>I259</f>
        <v>49530</v>
      </c>
      <c r="J258" s="412">
        <f>J259</f>
        <v>49520</v>
      </c>
      <c r="K258" s="413">
        <f t="shared" si="32"/>
        <v>99.979810216030685</v>
      </c>
      <c r="L258" s="414">
        <v>100</v>
      </c>
      <c r="M258" s="447"/>
    </row>
    <row r="259" spans="1:13" s="155" customFormat="1" x14ac:dyDescent="0.25">
      <c r="A259" s="492"/>
      <c r="B259" s="387" t="s">
        <v>13</v>
      </c>
      <c r="C259" s="388"/>
      <c r="D259" s="388"/>
      <c r="E259" s="415"/>
      <c r="F259" s="415"/>
      <c r="G259" s="416"/>
      <c r="H259" s="417"/>
      <c r="I259" s="415">
        <f>'2016'!E168+'2017'!E184</f>
        <v>49530</v>
      </c>
      <c r="J259" s="415">
        <f>'2016'!F168+'2017'!F184</f>
        <v>49520</v>
      </c>
      <c r="K259" s="416">
        <f t="shared" si="32"/>
        <v>99.979810216030685</v>
      </c>
      <c r="L259" s="417"/>
      <c r="M259" s="447"/>
    </row>
    <row r="260" spans="1:13" ht="120" x14ac:dyDescent="0.25">
      <c r="A260" s="492">
        <v>59</v>
      </c>
      <c r="B260" s="384" t="s">
        <v>148</v>
      </c>
      <c r="C260" s="262" t="s">
        <v>149</v>
      </c>
      <c r="D260" s="262" t="s">
        <v>16</v>
      </c>
      <c r="E260" s="412">
        <f>E261</f>
        <v>25000</v>
      </c>
      <c r="F260" s="412">
        <f>F261</f>
        <v>24994.799999999999</v>
      </c>
      <c r="G260" s="413">
        <f t="shared" si="33"/>
        <v>99.979200000000006</v>
      </c>
      <c r="H260" s="414">
        <v>100</v>
      </c>
      <c r="I260" s="412">
        <f>I261</f>
        <v>114296</v>
      </c>
      <c r="J260" s="412">
        <f>J261</f>
        <v>112239.44</v>
      </c>
      <c r="K260" s="413">
        <f t="shared" si="32"/>
        <v>98.200671939525435</v>
      </c>
      <c r="L260" s="414">
        <v>100</v>
      </c>
      <c r="M260" s="444"/>
    </row>
    <row r="261" spans="1:13" s="155" customFormat="1" x14ac:dyDescent="0.25">
      <c r="A261" s="492"/>
      <c r="B261" s="387" t="s">
        <v>13</v>
      </c>
      <c r="C261" s="388"/>
      <c r="D261" s="388"/>
      <c r="E261" s="415">
        <v>25000</v>
      </c>
      <c r="F261" s="415">
        <v>24994.799999999999</v>
      </c>
      <c r="G261" s="416">
        <f t="shared" si="33"/>
        <v>99.979200000000006</v>
      </c>
      <c r="H261" s="417"/>
      <c r="I261" s="415">
        <f>E261+'2016'!E170+'2017'!E186+'2018'!E198</f>
        <v>114296</v>
      </c>
      <c r="J261" s="415">
        <f>F261+'2016'!F170+'2017'!F186+'2018'!F198</f>
        <v>112239.44</v>
      </c>
      <c r="K261" s="416">
        <f t="shared" si="32"/>
        <v>98.200671939525435</v>
      </c>
      <c r="L261" s="417"/>
      <c r="M261" s="447"/>
    </row>
    <row r="262" spans="1:13" ht="105" x14ac:dyDescent="0.25">
      <c r="A262" s="492">
        <v>60</v>
      </c>
      <c r="B262" s="384" t="s">
        <v>150</v>
      </c>
      <c r="C262" s="262" t="s">
        <v>149</v>
      </c>
      <c r="D262" s="262" t="s">
        <v>175</v>
      </c>
      <c r="E262" s="412"/>
      <c r="F262" s="412"/>
      <c r="G262" s="413"/>
      <c r="H262" s="414"/>
      <c r="I262" s="412">
        <f>I263</f>
        <v>85000</v>
      </c>
      <c r="J262" s="412">
        <f>J263</f>
        <v>85000</v>
      </c>
      <c r="K262" s="413">
        <f t="shared" si="32"/>
        <v>100</v>
      </c>
      <c r="L262" s="414">
        <v>100</v>
      </c>
      <c r="M262" s="444"/>
    </row>
    <row r="263" spans="1:13" s="155" customFormat="1" x14ac:dyDescent="0.25">
      <c r="A263" s="492"/>
      <c r="B263" s="387" t="s">
        <v>13</v>
      </c>
      <c r="C263" s="388"/>
      <c r="D263" s="388"/>
      <c r="E263" s="415"/>
      <c r="F263" s="415"/>
      <c r="G263" s="416"/>
      <c r="H263" s="417"/>
      <c r="I263" s="415">
        <f>'2016'!E172+'2017'!E188+'2018'!E200</f>
        <v>85000</v>
      </c>
      <c r="J263" s="415">
        <f>'2016'!F172+'2017'!F188+'2018'!F200</f>
        <v>85000</v>
      </c>
      <c r="K263" s="416">
        <f t="shared" si="32"/>
        <v>100</v>
      </c>
      <c r="L263" s="417"/>
      <c r="M263" s="447"/>
    </row>
    <row r="264" spans="1:13" ht="135" x14ac:dyDescent="0.25">
      <c r="A264" s="492">
        <v>61</v>
      </c>
      <c r="B264" s="384" t="s">
        <v>151</v>
      </c>
      <c r="C264" s="262" t="s">
        <v>149</v>
      </c>
      <c r="D264" s="262" t="s">
        <v>16</v>
      </c>
      <c r="E264" s="412">
        <f>E265</f>
        <v>30000</v>
      </c>
      <c r="F264" s="412">
        <f>F265</f>
        <v>29999.15</v>
      </c>
      <c r="G264" s="413">
        <f t="shared" si="33"/>
        <v>99.997166666666672</v>
      </c>
      <c r="H264" s="414">
        <v>100</v>
      </c>
      <c r="I264" s="412">
        <f>I265</f>
        <v>115040</v>
      </c>
      <c r="J264" s="412">
        <f>J265</f>
        <v>122636.95999999999</v>
      </c>
      <c r="K264" s="413">
        <f t="shared" si="32"/>
        <v>106.60375521557719</v>
      </c>
      <c r="L264" s="414">
        <v>100</v>
      </c>
      <c r="M264" s="444"/>
    </row>
    <row r="265" spans="1:13" s="155" customFormat="1" x14ac:dyDescent="0.25">
      <c r="A265" s="492"/>
      <c r="B265" s="387" t="s">
        <v>13</v>
      </c>
      <c r="C265" s="388"/>
      <c r="D265" s="388"/>
      <c r="E265" s="415">
        <v>30000</v>
      </c>
      <c r="F265" s="415">
        <v>29999.15</v>
      </c>
      <c r="G265" s="416">
        <f t="shared" si="33"/>
        <v>99.997166666666672</v>
      </c>
      <c r="H265" s="417"/>
      <c r="I265" s="415">
        <f>E265+'2016'!E174+'2017'!E190+'2018'!E202</f>
        <v>115040</v>
      </c>
      <c r="J265" s="415">
        <f>F265+'2016'!F174+'2017'!F190+'2018'!F202</f>
        <v>122636.95999999999</v>
      </c>
      <c r="K265" s="416">
        <f t="shared" si="32"/>
        <v>106.60375521557719</v>
      </c>
      <c r="L265" s="417"/>
      <c r="M265" s="447"/>
    </row>
    <row r="266" spans="1:13" ht="105" x14ac:dyDescent="0.25">
      <c r="A266" s="492">
        <v>62</v>
      </c>
      <c r="B266" s="384" t="s">
        <v>152</v>
      </c>
      <c r="C266" s="262" t="s">
        <v>149</v>
      </c>
      <c r="D266" s="262" t="s">
        <v>16</v>
      </c>
      <c r="E266" s="412">
        <f t="shared" ref="E266:F266" si="34">E267</f>
        <v>20000</v>
      </c>
      <c r="F266" s="412">
        <f t="shared" si="34"/>
        <v>19999.48</v>
      </c>
      <c r="G266" s="413">
        <f t="shared" si="33"/>
        <v>99.997399999999999</v>
      </c>
      <c r="H266" s="414">
        <v>100</v>
      </c>
      <c r="I266" s="412">
        <f t="shared" ref="I266:I268" si="35">I267</f>
        <v>110137.1</v>
      </c>
      <c r="J266" s="412">
        <f t="shared" ref="J266:J268" si="36">J267</f>
        <v>101594.56</v>
      </c>
      <c r="K266" s="413">
        <f t="shared" si="32"/>
        <v>92.243721688695274</v>
      </c>
      <c r="L266" s="414">
        <v>100</v>
      </c>
      <c r="M266" s="444"/>
    </row>
    <row r="267" spans="1:13" s="155" customFormat="1" x14ac:dyDescent="0.25">
      <c r="A267" s="492"/>
      <c r="B267" s="387" t="s">
        <v>13</v>
      </c>
      <c r="C267" s="388"/>
      <c r="D267" s="388"/>
      <c r="E267" s="415">
        <v>20000</v>
      </c>
      <c r="F267" s="415">
        <v>19999.48</v>
      </c>
      <c r="G267" s="416">
        <f t="shared" si="33"/>
        <v>99.997399999999999</v>
      </c>
      <c r="H267" s="417"/>
      <c r="I267" s="415">
        <f>E267+'2016'!E176+'2017'!E192+'2018'!E204</f>
        <v>110137.1</v>
      </c>
      <c r="J267" s="415">
        <f>F267+'2016'!F176+'2017'!F192+'2018'!F204</f>
        <v>101594.56</v>
      </c>
      <c r="K267" s="416">
        <f t="shared" si="32"/>
        <v>92.243721688695274</v>
      </c>
      <c r="L267" s="417"/>
      <c r="M267" s="447"/>
    </row>
    <row r="268" spans="1:13" ht="90" x14ac:dyDescent="0.25">
      <c r="A268" s="492">
        <v>63</v>
      </c>
      <c r="B268" s="384" t="s">
        <v>153</v>
      </c>
      <c r="C268" s="262" t="s">
        <v>149</v>
      </c>
      <c r="D268" s="262" t="s">
        <v>177</v>
      </c>
      <c r="E268" s="412"/>
      <c r="F268" s="412"/>
      <c r="G268" s="413"/>
      <c r="H268" s="414"/>
      <c r="I268" s="412">
        <f t="shared" si="35"/>
        <v>13000</v>
      </c>
      <c r="J268" s="412">
        <f t="shared" si="36"/>
        <v>12673.310000000001</v>
      </c>
      <c r="K268" s="413">
        <f t="shared" ref="K268:K320" si="37">J268/I268*100</f>
        <v>97.487000000000009</v>
      </c>
      <c r="L268" s="414">
        <v>100</v>
      </c>
      <c r="M268" s="444"/>
    </row>
    <row r="269" spans="1:13" s="155" customFormat="1" x14ac:dyDescent="0.25">
      <c r="A269" s="492"/>
      <c r="B269" s="387" t="s">
        <v>13</v>
      </c>
      <c r="C269" s="388"/>
      <c r="D269" s="388"/>
      <c r="E269" s="415"/>
      <c r="F269" s="415"/>
      <c r="G269" s="416"/>
      <c r="H269" s="417"/>
      <c r="I269" s="415">
        <f>'2019'!E269+'2016'!E178+'2017'!E194+'2018'!E206</f>
        <v>13000</v>
      </c>
      <c r="J269" s="415">
        <f>'2019'!F269+'2016'!F178+'2017'!F194+'2018'!F206</f>
        <v>12673.310000000001</v>
      </c>
      <c r="K269" s="416">
        <f t="shared" si="37"/>
        <v>97.487000000000009</v>
      </c>
      <c r="L269" s="417"/>
      <c r="M269" s="447"/>
    </row>
    <row r="270" spans="1:13" ht="45" x14ac:dyDescent="0.25">
      <c r="A270" s="492">
        <v>64</v>
      </c>
      <c r="B270" s="384" t="s">
        <v>154</v>
      </c>
      <c r="C270" s="262" t="s">
        <v>149</v>
      </c>
      <c r="D270" s="262" t="s">
        <v>16</v>
      </c>
      <c r="E270" s="412">
        <f>E271</f>
        <v>20000</v>
      </c>
      <c r="F270" s="412">
        <f>F271</f>
        <v>20000</v>
      </c>
      <c r="G270" s="413">
        <f t="shared" si="33"/>
        <v>100</v>
      </c>
      <c r="H270" s="414">
        <v>100</v>
      </c>
      <c r="I270" s="412">
        <f>I271</f>
        <v>833684</v>
      </c>
      <c r="J270" s="412">
        <f>J271</f>
        <v>829944.98</v>
      </c>
      <c r="K270" s="413">
        <f t="shared" si="37"/>
        <v>99.551506326137968</v>
      </c>
      <c r="L270" s="414">
        <v>100</v>
      </c>
      <c r="M270" s="444"/>
    </row>
    <row r="271" spans="1:13" s="155" customFormat="1" x14ac:dyDescent="0.25">
      <c r="A271" s="492"/>
      <c r="B271" s="387" t="s">
        <v>13</v>
      </c>
      <c r="C271" s="388"/>
      <c r="D271" s="388"/>
      <c r="E271" s="415">
        <f>E273+E274</f>
        <v>20000</v>
      </c>
      <c r="F271" s="415">
        <f>F273+F274</f>
        <v>20000</v>
      </c>
      <c r="G271" s="416">
        <f t="shared" si="33"/>
        <v>100</v>
      </c>
      <c r="H271" s="417"/>
      <c r="I271" s="415">
        <f>I273+I274</f>
        <v>833684</v>
      </c>
      <c r="J271" s="415">
        <f>J273+J274</f>
        <v>829944.98</v>
      </c>
      <c r="K271" s="416">
        <f t="shared" si="37"/>
        <v>99.551506326137968</v>
      </c>
      <c r="L271" s="417"/>
      <c r="M271" s="447"/>
    </row>
    <row r="272" spans="1:13" x14ac:dyDescent="0.25">
      <c r="A272" s="492"/>
      <c r="B272" s="384" t="s">
        <v>155</v>
      </c>
      <c r="C272" s="262"/>
      <c r="D272" s="262"/>
      <c r="E272" s="412"/>
      <c r="F272" s="412"/>
      <c r="G272" s="413"/>
      <c r="H272" s="414"/>
      <c r="I272" s="414"/>
      <c r="J272" s="414"/>
      <c r="K272" s="416"/>
      <c r="L272" s="414"/>
      <c r="M272" s="444"/>
    </row>
    <row r="273" spans="1:13" ht="45" x14ac:dyDescent="0.25">
      <c r="A273" s="492"/>
      <c r="B273" s="384" t="s">
        <v>156</v>
      </c>
      <c r="C273" s="262"/>
      <c r="D273" s="262"/>
      <c r="E273" s="412">
        <v>20000</v>
      </c>
      <c r="F273" s="412">
        <v>20000</v>
      </c>
      <c r="G273" s="413">
        <f t="shared" si="33"/>
        <v>100</v>
      </c>
      <c r="H273" s="414"/>
      <c r="I273" s="412">
        <f>'2019'!E273+'2016'!E182+'2017'!E198+'2018'!E210</f>
        <v>61184</v>
      </c>
      <c r="J273" s="412">
        <f>'2019'!F273+'2016'!F182+'2017'!F198+'2018'!F210</f>
        <v>61184</v>
      </c>
      <c r="K273" s="413">
        <f t="shared" si="37"/>
        <v>100</v>
      </c>
      <c r="L273" s="414"/>
      <c r="M273" s="444"/>
    </row>
    <row r="274" spans="1:13" ht="75" x14ac:dyDescent="0.25">
      <c r="A274" s="492"/>
      <c r="B274" s="384" t="s">
        <v>157</v>
      </c>
      <c r="C274" s="262"/>
      <c r="D274" s="262"/>
      <c r="E274" s="412"/>
      <c r="F274" s="412"/>
      <c r="G274" s="413"/>
      <c r="H274" s="414"/>
      <c r="I274" s="412">
        <f>'2019'!E274+'2016'!E183+'2017'!E199+'2018'!E211</f>
        <v>772500</v>
      </c>
      <c r="J274" s="412">
        <f>'2019'!F274+'2016'!F183+'2017'!F199+'2018'!F211</f>
        <v>768760.98</v>
      </c>
      <c r="K274" s="413">
        <f t="shared" si="37"/>
        <v>99.515984466019418</v>
      </c>
      <c r="L274" s="414"/>
      <c r="M274" s="444"/>
    </row>
    <row r="275" spans="1:13" ht="45" x14ac:dyDescent="0.25">
      <c r="A275" s="492">
        <v>65</v>
      </c>
      <c r="B275" s="384" t="s">
        <v>158</v>
      </c>
      <c r="C275" s="262" t="s">
        <v>149</v>
      </c>
      <c r="D275" s="262" t="s">
        <v>175</v>
      </c>
      <c r="E275" s="412"/>
      <c r="F275" s="412"/>
      <c r="G275" s="413"/>
      <c r="H275" s="414"/>
      <c r="I275" s="412">
        <f>I276</f>
        <v>91000</v>
      </c>
      <c r="J275" s="412">
        <f>J276</f>
        <v>91000</v>
      </c>
      <c r="K275" s="413">
        <f t="shared" si="37"/>
        <v>100</v>
      </c>
      <c r="L275" s="414">
        <v>100</v>
      </c>
      <c r="M275" s="444"/>
    </row>
    <row r="276" spans="1:13" s="155" customFormat="1" x14ac:dyDescent="0.25">
      <c r="A276" s="492"/>
      <c r="B276" s="387" t="s">
        <v>13</v>
      </c>
      <c r="C276" s="388"/>
      <c r="D276" s="388"/>
      <c r="E276" s="415"/>
      <c r="F276" s="415"/>
      <c r="G276" s="416"/>
      <c r="H276" s="417"/>
      <c r="I276" s="415">
        <f>'2019'!E276+'2016'!E185+'2017'!E201+'2018'!E213</f>
        <v>91000</v>
      </c>
      <c r="J276" s="415">
        <f>'2019'!F276+'2016'!F185+'2017'!F201+'2018'!F213</f>
        <v>91000</v>
      </c>
      <c r="K276" s="416">
        <f t="shared" si="37"/>
        <v>100</v>
      </c>
      <c r="L276" s="417"/>
      <c r="M276" s="447"/>
    </row>
    <row r="277" spans="1:13" ht="75" x14ac:dyDescent="0.25">
      <c r="A277" s="492">
        <v>66</v>
      </c>
      <c r="B277" s="384" t="s">
        <v>159</v>
      </c>
      <c r="C277" s="262" t="s">
        <v>149</v>
      </c>
      <c r="D277" s="262" t="s">
        <v>16</v>
      </c>
      <c r="E277" s="412">
        <f>E278</f>
        <v>110040.2</v>
      </c>
      <c r="F277" s="412">
        <f>F278</f>
        <v>110040.2</v>
      </c>
      <c r="G277" s="413">
        <f t="shared" si="33"/>
        <v>100</v>
      </c>
      <c r="H277" s="414">
        <v>100</v>
      </c>
      <c r="I277" s="412">
        <f>I278</f>
        <v>529589.89999999991</v>
      </c>
      <c r="J277" s="412">
        <f>J278</f>
        <v>515226.29</v>
      </c>
      <c r="K277" s="413">
        <f t="shared" si="37"/>
        <v>97.287786266316644</v>
      </c>
      <c r="L277" s="414">
        <v>100</v>
      </c>
      <c r="M277" s="444"/>
    </row>
    <row r="278" spans="1:13" s="155" customFormat="1" x14ac:dyDescent="0.25">
      <c r="A278" s="492"/>
      <c r="B278" s="387" t="s">
        <v>13</v>
      </c>
      <c r="C278" s="388"/>
      <c r="D278" s="388"/>
      <c r="E278" s="415">
        <v>110040.2</v>
      </c>
      <c r="F278" s="415">
        <v>110040.2</v>
      </c>
      <c r="G278" s="416">
        <f t="shared" si="33"/>
        <v>100</v>
      </c>
      <c r="H278" s="417"/>
      <c r="I278" s="415">
        <f>'2019'!E278+'2016'!E187+'2017'!E203+'2018'!E215</f>
        <v>529589.89999999991</v>
      </c>
      <c r="J278" s="415">
        <f>'2019'!F278+'2016'!F187+'2017'!F203+'2018'!F215</f>
        <v>515226.29</v>
      </c>
      <c r="K278" s="416">
        <f t="shared" si="37"/>
        <v>97.287786266316644</v>
      </c>
      <c r="L278" s="417"/>
      <c r="M278" s="447"/>
    </row>
    <row r="279" spans="1:13" s="155" customFormat="1" ht="45" x14ac:dyDescent="0.25">
      <c r="A279" s="492">
        <v>67</v>
      </c>
      <c r="B279" s="384" t="s">
        <v>160</v>
      </c>
      <c r="C279" s="511" t="s">
        <v>149</v>
      </c>
      <c r="D279" s="511" t="s">
        <v>45</v>
      </c>
      <c r="E279" s="415"/>
      <c r="F279" s="415"/>
      <c r="G279" s="416"/>
      <c r="H279" s="417"/>
      <c r="I279" s="412">
        <f>I280</f>
        <v>260000</v>
      </c>
      <c r="J279" s="412">
        <f>J280</f>
        <v>211692.38</v>
      </c>
      <c r="K279" s="413">
        <f t="shared" si="37"/>
        <v>81.420146153846147</v>
      </c>
      <c r="L279" s="414">
        <v>100</v>
      </c>
      <c r="M279" s="447"/>
    </row>
    <row r="280" spans="1:13" s="155" customFormat="1" x14ac:dyDescent="0.25">
      <c r="A280" s="492"/>
      <c r="B280" s="387" t="s">
        <v>13</v>
      </c>
      <c r="C280" s="388"/>
      <c r="D280" s="388"/>
      <c r="E280" s="415"/>
      <c r="F280" s="415"/>
      <c r="G280" s="416"/>
      <c r="H280" s="417"/>
      <c r="I280" s="415">
        <f>E280+'2016'!E189+'2017'!E205</f>
        <v>260000</v>
      </c>
      <c r="J280" s="415">
        <f>F280+'2016'!F189+'2017'!F205</f>
        <v>211692.38</v>
      </c>
      <c r="K280" s="416">
        <f t="shared" si="37"/>
        <v>81.420146153846147</v>
      </c>
      <c r="L280" s="417"/>
      <c r="M280" s="447"/>
    </row>
    <row r="281" spans="1:13" ht="120" x14ac:dyDescent="0.25">
      <c r="A281" s="492">
        <v>68</v>
      </c>
      <c r="B281" s="384" t="s">
        <v>161</v>
      </c>
      <c r="C281" s="262" t="s">
        <v>149</v>
      </c>
      <c r="D281" s="262" t="s">
        <v>175</v>
      </c>
      <c r="E281" s="412"/>
      <c r="F281" s="412"/>
      <c r="G281" s="413"/>
      <c r="H281" s="414"/>
      <c r="I281" s="412">
        <f>I282</f>
        <v>96850</v>
      </c>
      <c r="J281" s="412">
        <f>J282</f>
        <v>67351.45</v>
      </c>
      <c r="K281" s="413">
        <f t="shared" si="37"/>
        <v>69.542023748064011</v>
      </c>
      <c r="L281" s="414">
        <v>100</v>
      </c>
      <c r="M281" s="444"/>
    </row>
    <row r="282" spans="1:13" s="155" customFormat="1" x14ac:dyDescent="0.25">
      <c r="A282" s="492"/>
      <c r="B282" s="387" t="s">
        <v>13</v>
      </c>
      <c r="C282" s="388"/>
      <c r="D282" s="388"/>
      <c r="E282" s="415"/>
      <c r="F282" s="415"/>
      <c r="G282" s="416"/>
      <c r="H282" s="417"/>
      <c r="I282" s="415">
        <f>E282+'2016'!E191+'2017'!E207+'2018'!E217</f>
        <v>96850</v>
      </c>
      <c r="J282" s="415">
        <f>F282+'2016'!F191+'2017'!F207+'2018'!F217</f>
        <v>67351.45</v>
      </c>
      <c r="K282" s="416">
        <f t="shared" si="37"/>
        <v>69.542023748064011</v>
      </c>
      <c r="L282" s="417"/>
      <c r="M282" s="447"/>
    </row>
    <row r="283" spans="1:13" ht="105" x14ac:dyDescent="0.25">
      <c r="A283" s="492">
        <v>69</v>
      </c>
      <c r="B283" s="384" t="s">
        <v>162</v>
      </c>
      <c r="C283" s="262" t="s">
        <v>149</v>
      </c>
      <c r="D283" s="262" t="s">
        <v>16</v>
      </c>
      <c r="E283" s="412">
        <f>E284</f>
        <v>3779896.4000000004</v>
      </c>
      <c r="F283" s="412">
        <f>F284</f>
        <v>3776993.96</v>
      </c>
      <c r="G283" s="413">
        <f t="shared" si="33"/>
        <v>99.92321376850434</v>
      </c>
      <c r="H283" s="414">
        <v>100</v>
      </c>
      <c r="I283" s="412">
        <f>I284</f>
        <v>7136264.4000000004</v>
      </c>
      <c r="J283" s="412">
        <f>J284</f>
        <v>7044058.2999999998</v>
      </c>
      <c r="K283" s="413">
        <f t="shared" si="37"/>
        <v>98.707922032709433</v>
      </c>
      <c r="L283" s="414">
        <v>100</v>
      </c>
      <c r="M283" s="444"/>
    </row>
    <row r="284" spans="1:13" s="155" customFormat="1" x14ac:dyDescent="0.25">
      <c r="A284" s="492"/>
      <c r="B284" s="387" t="s">
        <v>13</v>
      </c>
      <c r="C284" s="388"/>
      <c r="D284" s="388"/>
      <c r="E284" s="415">
        <f>E286+E290+E294+E297</f>
        <v>3779896.4000000004</v>
      </c>
      <c r="F284" s="415">
        <f>F286+F290+F294+F297</f>
        <v>3776993.96</v>
      </c>
      <c r="G284" s="416">
        <f t="shared" si="33"/>
        <v>99.92321376850434</v>
      </c>
      <c r="H284" s="417"/>
      <c r="I284" s="415">
        <f>I286+I290+I294+I297</f>
        <v>7136264.4000000004</v>
      </c>
      <c r="J284" s="415">
        <f>J286+J290+J294+J297</f>
        <v>7044058.2999999998</v>
      </c>
      <c r="K284" s="416">
        <f t="shared" si="37"/>
        <v>98.707922032709433</v>
      </c>
      <c r="L284" s="417"/>
      <c r="M284" s="447"/>
    </row>
    <row r="285" spans="1:13" x14ac:dyDescent="0.25">
      <c r="A285" s="492"/>
      <c r="B285" s="384" t="s">
        <v>163</v>
      </c>
      <c r="C285" s="262"/>
      <c r="D285" s="262"/>
      <c r="E285" s="412"/>
      <c r="F285" s="412"/>
      <c r="G285" s="413"/>
      <c r="H285" s="414"/>
      <c r="I285" s="414"/>
      <c r="J285" s="414"/>
      <c r="K285" s="416"/>
      <c r="L285" s="414"/>
      <c r="M285" s="444"/>
    </row>
    <row r="286" spans="1:13" x14ac:dyDescent="0.25">
      <c r="A286" s="492"/>
      <c r="B286" s="384" t="s">
        <v>164</v>
      </c>
      <c r="C286" s="262"/>
      <c r="D286" s="262"/>
      <c r="E286" s="412">
        <f>E288+E289</f>
        <v>500000</v>
      </c>
      <c r="F286" s="412">
        <f>F289</f>
        <v>500000</v>
      </c>
      <c r="G286" s="413">
        <f t="shared" si="33"/>
        <v>100</v>
      </c>
      <c r="H286" s="414"/>
      <c r="I286" s="412">
        <f>I288+I289</f>
        <v>1091000</v>
      </c>
      <c r="J286" s="412">
        <f>J288+J289</f>
        <v>1041353.37</v>
      </c>
      <c r="K286" s="413">
        <f t="shared" si="37"/>
        <v>95.449438130155812</v>
      </c>
      <c r="L286" s="414"/>
      <c r="M286" s="444"/>
    </row>
    <row r="287" spans="1:13" x14ac:dyDescent="0.25">
      <c r="A287" s="492"/>
      <c r="B287" s="384" t="s">
        <v>155</v>
      </c>
      <c r="C287" s="262"/>
      <c r="D287" s="262"/>
      <c r="E287" s="412"/>
      <c r="F287" s="412"/>
      <c r="G287" s="413"/>
      <c r="H287" s="414"/>
      <c r="I287" s="414"/>
      <c r="J287" s="414"/>
      <c r="K287" s="416"/>
      <c r="L287" s="414"/>
      <c r="M287" s="444"/>
    </row>
    <row r="288" spans="1:13" ht="45" x14ac:dyDescent="0.25">
      <c r="A288" s="492"/>
      <c r="B288" s="384" t="s">
        <v>165</v>
      </c>
      <c r="C288" s="478"/>
      <c r="D288" s="478"/>
      <c r="E288" s="412"/>
      <c r="F288" s="412"/>
      <c r="G288" s="413"/>
      <c r="H288" s="414"/>
      <c r="I288" s="412">
        <f>E288+'2016'!E197+'2017'!E213</f>
        <v>291000</v>
      </c>
      <c r="J288" s="412">
        <f>F288+'2016'!F197+'2017'!F213</f>
        <v>241353.37</v>
      </c>
      <c r="K288" s="413">
        <f t="shared" si="37"/>
        <v>82.939302405498282</v>
      </c>
      <c r="L288" s="414"/>
      <c r="M288" s="444"/>
    </row>
    <row r="289" spans="1:13" ht="60" x14ac:dyDescent="0.25">
      <c r="A289" s="492"/>
      <c r="B289" s="384" t="s">
        <v>464</v>
      </c>
      <c r="C289" s="418"/>
      <c r="D289" s="418"/>
      <c r="E289" s="412">
        <v>500000</v>
      </c>
      <c r="F289" s="412">
        <v>500000</v>
      </c>
      <c r="G289" s="413">
        <f t="shared" ref="G289:G363" si="38">F289/E289*100</f>
        <v>100</v>
      </c>
      <c r="H289" s="414"/>
      <c r="I289" s="412">
        <f>E289+'2018'!E223</f>
        <v>800000</v>
      </c>
      <c r="J289" s="412">
        <f>F289+'2018'!F223</f>
        <v>800000</v>
      </c>
      <c r="K289" s="413">
        <f t="shared" si="37"/>
        <v>100</v>
      </c>
      <c r="L289" s="414"/>
      <c r="M289" s="444"/>
    </row>
    <row r="290" spans="1:13" x14ac:dyDescent="0.25">
      <c r="A290" s="492"/>
      <c r="B290" s="384" t="s">
        <v>166</v>
      </c>
      <c r="C290" s="418"/>
      <c r="D290" s="418"/>
      <c r="E290" s="412">
        <f>E292+E293</f>
        <v>1350339.6</v>
      </c>
      <c r="F290" s="412">
        <f>F292+F293</f>
        <v>1347437.1600000001</v>
      </c>
      <c r="G290" s="413">
        <f t="shared" si="38"/>
        <v>99.785058514169336</v>
      </c>
      <c r="H290" s="414"/>
      <c r="I290" s="412">
        <f>I292+I293</f>
        <v>2659222.6</v>
      </c>
      <c r="J290" s="412">
        <f>J292+J293</f>
        <v>2630978.38</v>
      </c>
      <c r="K290" s="413">
        <f t="shared" si="37"/>
        <v>98.93787680655241</v>
      </c>
      <c r="L290" s="414"/>
      <c r="M290" s="444"/>
    </row>
    <row r="291" spans="1:13" x14ac:dyDescent="0.25">
      <c r="A291" s="492"/>
      <c r="B291" s="384" t="s">
        <v>155</v>
      </c>
      <c r="C291" s="418"/>
      <c r="D291" s="418"/>
      <c r="E291" s="412"/>
      <c r="F291" s="412"/>
      <c r="G291" s="413"/>
      <c r="H291" s="414"/>
      <c r="I291" s="414"/>
      <c r="J291" s="414"/>
      <c r="K291" s="413"/>
      <c r="L291" s="414"/>
      <c r="M291" s="444"/>
    </row>
    <row r="292" spans="1:13" ht="45" x14ac:dyDescent="0.25">
      <c r="A292" s="492"/>
      <c r="B292" s="384" t="s">
        <v>167</v>
      </c>
      <c r="C292" s="418"/>
      <c r="D292" s="418"/>
      <c r="E292" s="412">
        <v>493439.8</v>
      </c>
      <c r="F292" s="412">
        <v>490537.36</v>
      </c>
      <c r="G292" s="413">
        <f t="shared" si="38"/>
        <v>99.411794508671562</v>
      </c>
      <c r="H292" s="414"/>
      <c r="I292" s="412">
        <f>E292+'2016'!E200+'2017'!E216+'2018'!E226</f>
        <v>1023439.8</v>
      </c>
      <c r="J292" s="412">
        <f>F292+'2016'!F200+'2017'!F216+'2018'!F226</f>
        <v>973568.12</v>
      </c>
      <c r="K292" s="413">
        <f t="shared" si="37"/>
        <v>95.127052905310109</v>
      </c>
      <c r="L292" s="414"/>
      <c r="M292" s="444"/>
    </row>
    <row r="293" spans="1:13" ht="60" x14ac:dyDescent="0.25">
      <c r="A293" s="492"/>
      <c r="B293" s="384" t="s">
        <v>465</v>
      </c>
      <c r="C293" s="418"/>
      <c r="D293" s="418"/>
      <c r="E293" s="412">
        <v>856899.8</v>
      </c>
      <c r="F293" s="412">
        <v>856899.8</v>
      </c>
      <c r="G293" s="413">
        <f t="shared" si="38"/>
        <v>100</v>
      </c>
      <c r="H293" s="414"/>
      <c r="I293" s="412">
        <f>250883+365000+856899.8+163000</f>
        <v>1635782.8</v>
      </c>
      <c r="J293" s="412">
        <f>249368.78+365000+856899.8+186141.68</f>
        <v>1657410.26</v>
      </c>
      <c r="K293" s="413">
        <f t="shared" si="37"/>
        <v>101.32214741468121</v>
      </c>
      <c r="L293" s="414"/>
      <c r="M293" s="444"/>
    </row>
    <row r="294" spans="1:13" x14ac:dyDescent="0.25">
      <c r="A294" s="492"/>
      <c r="B294" s="384" t="s">
        <v>169</v>
      </c>
      <c r="C294" s="262"/>
      <c r="D294" s="262"/>
      <c r="E294" s="412">
        <f>E296</f>
        <v>829556.8</v>
      </c>
      <c r="F294" s="412">
        <f>F296</f>
        <v>829556.8</v>
      </c>
      <c r="G294" s="413">
        <f t="shared" si="38"/>
        <v>100</v>
      </c>
      <c r="H294" s="414"/>
      <c r="I294" s="412">
        <f>I296</f>
        <v>1379556.8</v>
      </c>
      <c r="J294" s="412">
        <f>J296</f>
        <v>1365241.55</v>
      </c>
      <c r="K294" s="413">
        <f t="shared" si="37"/>
        <v>98.962329785913852</v>
      </c>
      <c r="L294" s="414"/>
      <c r="M294" s="444"/>
    </row>
    <row r="295" spans="1:13" x14ac:dyDescent="0.25">
      <c r="A295" s="492"/>
      <c r="B295" s="384" t="s">
        <v>155</v>
      </c>
      <c r="C295" s="262"/>
      <c r="D295" s="262"/>
      <c r="E295" s="412"/>
      <c r="F295" s="412"/>
      <c r="G295" s="413"/>
      <c r="H295" s="414"/>
      <c r="I295" s="414"/>
      <c r="J295" s="414"/>
      <c r="K295" s="413"/>
      <c r="L295" s="414"/>
      <c r="M295" s="444"/>
    </row>
    <row r="296" spans="1:13" ht="45" x14ac:dyDescent="0.25">
      <c r="A296" s="492"/>
      <c r="B296" s="384" t="s">
        <v>170</v>
      </c>
      <c r="C296" s="262"/>
      <c r="D296" s="262"/>
      <c r="E296" s="412">
        <v>829556.8</v>
      </c>
      <c r="F296" s="412">
        <v>829556.8</v>
      </c>
      <c r="G296" s="413">
        <f t="shared" si="38"/>
        <v>100</v>
      </c>
      <c r="H296" s="414"/>
      <c r="I296" s="412">
        <f>100000+350000+829556.8+100000</f>
        <v>1379556.8</v>
      </c>
      <c r="J296" s="412">
        <f>100000+350000+829556.8+85684.75</f>
        <v>1365241.55</v>
      </c>
      <c r="K296" s="413">
        <f t="shared" si="37"/>
        <v>98.962329785913852</v>
      </c>
      <c r="L296" s="414"/>
      <c r="M296" s="444"/>
    </row>
    <row r="297" spans="1:13" x14ac:dyDescent="0.25">
      <c r="A297" s="492"/>
      <c r="B297" s="384" t="s">
        <v>171</v>
      </c>
      <c r="C297" s="262"/>
      <c r="D297" s="262"/>
      <c r="E297" s="412">
        <f>E299</f>
        <v>1100000</v>
      </c>
      <c r="F297" s="412">
        <f>F299</f>
        <v>1100000</v>
      </c>
      <c r="G297" s="413">
        <f t="shared" si="38"/>
        <v>100</v>
      </c>
      <c r="H297" s="414"/>
      <c r="I297" s="412">
        <f>I299</f>
        <v>2006485</v>
      </c>
      <c r="J297" s="412">
        <f>J299</f>
        <v>2006485</v>
      </c>
      <c r="K297" s="413">
        <f t="shared" si="37"/>
        <v>100</v>
      </c>
      <c r="L297" s="414"/>
      <c r="M297" s="444"/>
    </row>
    <row r="298" spans="1:13" x14ac:dyDescent="0.25">
      <c r="A298" s="492"/>
      <c r="B298" s="384" t="s">
        <v>155</v>
      </c>
      <c r="C298" s="262"/>
      <c r="D298" s="262"/>
      <c r="E298" s="412"/>
      <c r="F298" s="412"/>
      <c r="G298" s="413"/>
      <c r="H298" s="414"/>
      <c r="I298" s="414"/>
      <c r="J298" s="414"/>
      <c r="K298" s="413"/>
      <c r="L298" s="414"/>
      <c r="M298" s="444"/>
    </row>
    <row r="299" spans="1:13" ht="60" x14ac:dyDescent="0.25">
      <c r="A299" s="492"/>
      <c r="B299" s="384" t="s">
        <v>172</v>
      </c>
      <c r="C299" s="418"/>
      <c r="D299" s="418"/>
      <c r="E299" s="412">
        <v>1100000</v>
      </c>
      <c r="F299" s="412">
        <v>1100000</v>
      </c>
      <c r="G299" s="413">
        <f t="shared" si="38"/>
        <v>100</v>
      </c>
      <c r="H299" s="414"/>
      <c r="I299" s="412">
        <f>180000+651485+1100000+75000</f>
        <v>2006485</v>
      </c>
      <c r="J299" s="412">
        <f>180000+651485+1100000+75000</f>
        <v>2006485</v>
      </c>
      <c r="K299" s="413">
        <f t="shared" si="37"/>
        <v>100</v>
      </c>
      <c r="L299" s="414"/>
      <c r="M299" s="444"/>
    </row>
    <row r="300" spans="1:13" ht="105" x14ac:dyDescent="0.25">
      <c r="A300" s="492">
        <v>70</v>
      </c>
      <c r="B300" s="384" t="s">
        <v>466</v>
      </c>
      <c r="C300" s="262" t="s">
        <v>149</v>
      </c>
      <c r="D300" s="262" t="s">
        <v>175</v>
      </c>
      <c r="E300" s="412"/>
      <c r="F300" s="412"/>
      <c r="G300" s="413"/>
      <c r="H300" s="414"/>
      <c r="I300" s="412">
        <f>I301</f>
        <v>53673.2</v>
      </c>
      <c r="J300" s="412">
        <f>J301</f>
        <v>23673</v>
      </c>
      <c r="K300" s="413">
        <f t="shared" si="37"/>
        <v>44.105810721179289</v>
      </c>
      <c r="L300" s="414">
        <v>100</v>
      </c>
      <c r="M300" s="384"/>
    </row>
    <row r="301" spans="1:13" s="155" customFormat="1" x14ac:dyDescent="0.25">
      <c r="A301" s="492"/>
      <c r="B301" s="392" t="s">
        <v>13</v>
      </c>
      <c r="C301" s="388"/>
      <c r="D301" s="388"/>
      <c r="E301" s="415"/>
      <c r="F301" s="415"/>
      <c r="G301" s="416"/>
      <c r="H301" s="417"/>
      <c r="I301" s="412">
        <f>'2016'!E207+'2017'!E223+'2018'!E235</f>
        <v>53673.2</v>
      </c>
      <c r="J301" s="412">
        <f>'2016'!F207+'2017'!F223+'2018'!F235</f>
        <v>23673</v>
      </c>
      <c r="K301" s="416">
        <f t="shared" si="37"/>
        <v>44.105810721179289</v>
      </c>
      <c r="L301" s="417"/>
      <c r="M301" s="447"/>
    </row>
    <row r="302" spans="1:13" s="155" customFormat="1" ht="45" x14ac:dyDescent="0.25">
      <c r="A302" s="492">
        <v>71</v>
      </c>
      <c r="B302" s="384" t="s">
        <v>664</v>
      </c>
      <c r="C302" s="492" t="s">
        <v>149</v>
      </c>
      <c r="D302" s="492">
        <v>2016</v>
      </c>
      <c r="E302" s="415"/>
      <c r="F302" s="415"/>
      <c r="G302" s="416"/>
      <c r="H302" s="417"/>
      <c r="I302" s="412">
        <f>I303</f>
        <v>9000</v>
      </c>
      <c r="J302" s="412">
        <f>J303</f>
        <v>9000</v>
      </c>
      <c r="K302" s="413">
        <f t="shared" si="37"/>
        <v>100</v>
      </c>
      <c r="L302" s="414">
        <v>100</v>
      </c>
      <c r="M302" s="447"/>
    </row>
    <row r="303" spans="1:13" s="155" customFormat="1" x14ac:dyDescent="0.25">
      <c r="A303" s="492"/>
      <c r="B303" s="392" t="s">
        <v>13</v>
      </c>
      <c r="C303" s="388"/>
      <c r="D303" s="388"/>
      <c r="E303" s="415"/>
      <c r="F303" s="415"/>
      <c r="G303" s="416"/>
      <c r="H303" s="417"/>
      <c r="I303" s="415">
        <f>'2016'!E209</f>
        <v>9000</v>
      </c>
      <c r="J303" s="415">
        <f>'2016'!F209</f>
        <v>9000</v>
      </c>
      <c r="K303" s="416">
        <f t="shared" si="37"/>
        <v>100</v>
      </c>
      <c r="L303" s="417"/>
      <c r="M303" s="447"/>
    </row>
    <row r="304" spans="1:13" s="155" customFormat="1" ht="64.5" customHeight="1" x14ac:dyDescent="0.25">
      <c r="A304" s="492">
        <v>72</v>
      </c>
      <c r="B304" s="384" t="s">
        <v>174</v>
      </c>
      <c r="C304" s="492" t="s">
        <v>149</v>
      </c>
      <c r="D304" s="492" t="s">
        <v>45</v>
      </c>
      <c r="E304" s="415"/>
      <c r="F304" s="415"/>
      <c r="G304" s="416"/>
      <c r="H304" s="417"/>
      <c r="I304" s="412">
        <f>I305</f>
        <v>16000</v>
      </c>
      <c r="J304" s="412">
        <f>J305</f>
        <v>16000</v>
      </c>
      <c r="K304" s="413">
        <f t="shared" si="37"/>
        <v>100</v>
      </c>
      <c r="L304" s="414">
        <v>100</v>
      </c>
      <c r="M304" s="447"/>
    </row>
    <row r="305" spans="1:13" s="155" customFormat="1" x14ac:dyDescent="0.25">
      <c r="A305" s="492"/>
      <c r="B305" s="392" t="s">
        <v>13</v>
      </c>
      <c r="C305" s="388"/>
      <c r="D305" s="388"/>
      <c r="E305" s="415"/>
      <c r="F305" s="415"/>
      <c r="G305" s="416"/>
      <c r="H305" s="417"/>
      <c r="I305" s="415">
        <f>'2016'!E211+'2017'!E225</f>
        <v>16000</v>
      </c>
      <c r="J305" s="415">
        <f>'2016'!F211+'2017'!F225</f>
        <v>16000</v>
      </c>
      <c r="K305" s="416">
        <f t="shared" si="37"/>
        <v>100</v>
      </c>
      <c r="L305" s="417"/>
      <c r="M305" s="447"/>
    </row>
    <row r="306" spans="1:13" ht="60" x14ac:dyDescent="0.25">
      <c r="A306" s="492">
        <v>73</v>
      </c>
      <c r="B306" s="384" t="s">
        <v>178</v>
      </c>
      <c r="C306" s="418" t="s">
        <v>149</v>
      </c>
      <c r="D306" s="262" t="s">
        <v>57</v>
      </c>
      <c r="E306" s="412">
        <f>E307</f>
        <v>25000</v>
      </c>
      <c r="F306" s="412">
        <f>F307</f>
        <v>24994.67</v>
      </c>
      <c r="G306" s="413">
        <f t="shared" si="38"/>
        <v>99.978679999999997</v>
      </c>
      <c r="H306" s="414">
        <v>100</v>
      </c>
      <c r="I306" s="412">
        <f>I307</f>
        <v>63971</v>
      </c>
      <c r="J306" s="412">
        <f>J307</f>
        <v>61686.219999999994</v>
      </c>
      <c r="K306" s="413">
        <f t="shared" si="37"/>
        <v>96.428412874583785</v>
      </c>
      <c r="L306" s="414">
        <v>100</v>
      </c>
      <c r="M306" s="444"/>
    </row>
    <row r="307" spans="1:13" s="155" customFormat="1" x14ac:dyDescent="0.25">
      <c r="A307" s="492"/>
      <c r="B307" s="387" t="s">
        <v>13</v>
      </c>
      <c r="C307" s="419"/>
      <c r="D307" s="388"/>
      <c r="E307" s="415">
        <v>25000</v>
      </c>
      <c r="F307" s="415">
        <v>24994.67</v>
      </c>
      <c r="G307" s="416">
        <f t="shared" si="38"/>
        <v>99.978679999999997</v>
      </c>
      <c r="H307" s="417"/>
      <c r="I307" s="415">
        <f>E307+'2016'!E213+'2017'!E227+'2018'!E237</f>
        <v>63971</v>
      </c>
      <c r="J307" s="415">
        <f>F307+'2016'!F213+'2017'!F227+'2018'!F237</f>
        <v>61686.219999999994</v>
      </c>
      <c r="K307" s="416">
        <f t="shared" si="37"/>
        <v>96.428412874583785</v>
      </c>
      <c r="L307" s="417"/>
      <c r="M307" s="447"/>
    </row>
    <row r="308" spans="1:13" ht="45" x14ac:dyDescent="0.25">
      <c r="A308" s="492">
        <v>74</v>
      </c>
      <c r="B308" s="384" t="s">
        <v>179</v>
      </c>
      <c r="C308" s="418" t="s">
        <v>149</v>
      </c>
      <c r="D308" s="262" t="s">
        <v>16</v>
      </c>
      <c r="E308" s="412">
        <f>E309</f>
        <v>5000</v>
      </c>
      <c r="F308" s="412">
        <f>F309</f>
        <v>5000</v>
      </c>
      <c r="G308" s="413">
        <f t="shared" si="38"/>
        <v>100</v>
      </c>
      <c r="H308" s="414">
        <v>100</v>
      </c>
      <c r="I308" s="412">
        <f>I309</f>
        <v>19000</v>
      </c>
      <c r="J308" s="412">
        <f>J309</f>
        <v>18772.689999999999</v>
      </c>
      <c r="K308" s="413">
        <f t="shared" si="37"/>
        <v>98.80363157894736</v>
      </c>
      <c r="L308" s="414">
        <v>100</v>
      </c>
      <c r="M308" s="444"/>
    </row>
    <row r="309" spans="1:13" s="155" customFormat="1" x14ac:dyDescent="0.25">
      <c r="A309" s="492"/>
      <c r="B309" s="387" t="s">
        <v>13</v>
      </c>
      <c r="C309" s="419"/>
      <c r="D309" s="388"/>
      <c r="E309" s="415">
        <v>5000</v>
      </c>
      <c r="F309" s="415">
        <v>5000</v>
      </c>
      <c r="G309" s="416">
        <f t="shared" si="38"/>
        <v>100</v>
      </c>
      <c r="H309" s="417"/>
      <c r="I309" s="415">
        <f>E309+'2016'!E215+'2017'!E229+'2018'!E239</f>
        <v>19000</v>
      </c>
      <c r="J309" s="415">
        <f>F309+'2016'!F215+'2017'!F229+'2018'!F239</f>
        <v>18772.689999999999</v>
      </c>
      <c r="K309" s="416">
        <f t="shared" si="37"/>
        <v>98.80363157894736</v>
      </c>
      <c r="L309" s="417"/>
      <c r="M309" s="447"/>
    </row>
    <row r="310" spans="1:13" s="155" customFormat="1" ht="45" x14ac:dyDescent="0.25">
      <c r="A310" s="492">
        <v>75</v>
      </c>
      <c r="B310" s="384" t="s">
        <v>541</v>
      </c>
      <c r="C310" s="418" t="s">
        <v>149</v>
      </c>
      <c r="D310" s="492">
        <v>2017</v>
      </c>
      <c r="E310" s="415"/>
      <c r="F310" s="415"/>
      <c r="G310" s="416"/>
      <c r="H310" s="417"/>
      <c r="I310" s="412">
        <f>I311</f>
        <v>10000</v>
      </c>
      <c r="J310" s="412">
        <f>J311</f>
        <v>9999.36</v>
      </c>
      <c r="K310" s="413">
        <f t="shared" si="37"/>
        <v>99.993600000000001</v>
      </c>
      <c r="L310" s="414">
        <v>100</v>
      </c>
      <c r="M310" s="447"/>
    </row>
    <row r="311" spans="1:13" s="155" customFormat="1" x14ac:dyDescent="0.25">
      <c r="A311" s="492"/>
      <c r="B311" s="387" t="s">
        <v>13</v>
      </c>
      <c r="C311" s="419"/>
      <c r="D311" s="388"/>
      <c r="E311" s="415"/>
      <c r="F311" s="415"/>
      <c r="G311" s="416"/>
      <c r="H311" s="417"/>
      <c r="I311" s="415">
        <f>'2017'!E231</f>
        <v>10000</v>
      </c>
      <c r="J311" s="415">
        <f>'2017'!F231</f>
        <v>9999.36</v>
      </c>
      <c r="K311" s="416">
        <f t="shared" si="37"/>
        <v>99.993600000000001</v>
      </c>
      <c r="L311" s="417"/>
      <c r="M311" s="447"/>
    </row>
    <row r="312" spans="1:13" ht="95.25" customHeight="1" x14ac:dyDescent="0.25">
      <c r="A312" s="492">
        <v>76</v>
      </c>
      <c r="B312" s="384" t="s">
        <v>467</v>
      </c>
      <c r="C312" s="418" t="s">
        <v>149</v>
      </c>
      <c r="D312" s="262" t="s">
        <v>175</v>
      </c>
      <c r="E312" s="412"/>
      <c r="F312" s="412"/>
      <c r="G312" s="413"/>
      <c r="H312" s="414"/>
      <c r="I312" s="412">
        <f>I313</f>
        <v>27500</v>
      </c>
      <c r="J312" s="412">
        <f>J313</f>
        <v>28470.29</v>
      </c>
      <c r="K312" s="413">
        <f t="shared" si="37"/>
        <v>103.52832727272727</v>
      </c>
      <c r="L312" s="414">
        <v>100</v>
      </c>
      <c r="M312" s="444"/>
    </row>
    <row r="313" spans="1:13" s="155" customFormat="1" x14ac:dyDescent="0.25">
      <c r="A313" s="492"/>
      <c r="B313" s="387" t="s">
        <v>13</v>
      </c>
      <c r="C313" s="419"/>
      <c r="D313" s="388"/>
      <c r="E313" s="415"/>
      <c r="F313" s="415"/>
      <c r="G313" s="416"/>
      <c r="H313" s="417"/>
      <c r="I313" s="415">
        <f>'2016'!E217+'2017'!E233+'2018'!E241</f>
        <v>27500</v>
      </c>
      <c r="J313" s="415">
        <f>'2016'!F217+'2017'!F233+'2018'!F241</f>
        <v>28470.29</v>
      </c>
      <c r="K313" s="416">
        <f t="shared" si="37"/>
        <v>103.52832727272727</v>
      </c>
      <c r="L313" s="417"/>
      <c r="M313" s="447"/>
    </row>
    <row r="314" spans="1:13" ht="90" x14ac:dyDescent="0.25">
      <c r="A314" s="492">
        <v>77</v>
      </c>
      <c r="B314" s="384" t="s">
        <v>181</v>
      </c>
      <c r="C314" s="418" t="s">
        <v>149</v>
      </c>
      <c r="D314" s="262" t="s">
        <v>16</v>
      </c>
      <c r="E314" s="412">
        <f>E315</f>
        <v>5000</v>
      </c>
      <c r="F314" s="412">
        <f>F315</f>
        <v>5000</v>
      </c>
      <c r="G314" s="413">
        <f t="shared" si="38"/>
        <v>100</v>
      </c>
      <c r="H314" s="414">
        <v>100</v>
      </c>
      <c r="I314" s="412">
        <f>I315</f>
        <v>22400</v>
      </c>
      <c r="J314" s="412">
        <f>J315</f>
        <v>22400</v>
      </c>
      <c r="K314" s="413">
        <f t="shared" si="37"/>
        <v>100</v>
      </c>
      <c r="L314" s="414">
        <v>100</v>
      </c>
      <c r="M314" s="444"/>
    </row>
    <row r="315" spans="1:13" s="155" customFormat="1" x14ac:dyDescent="0.25">
      <c r="A315" s="492"/>
      <c r="B315" s="387" t="s">
        <v>13</v>
      </c>
      <c r="C315" s="419"/>
      <c r="D315" s="388"/>
      <c r="E315" s="415">
        <v>5000</v>
      </c>
      <c r="F315" s="415">
        <v>5000</v>
      </c>
      <c r="G315" s="416">
        <f t="shared" si="38"/>
        <v>100</v>
      </c>
      <c r="H315" s="417"/>
      <c r="I315" s="415">
        <f>E315+'2016'!E219+'2017'!E235+'2018'!E243</f>
        <v>22400</v>
      </c>
      <c r="J315" s="415">
        <f>F315+'2016'!F219+'2017'!F235+'2018'!F243</f>
        <v>22400</v>
      </c>
      <c r="K315" s="416">
        <f t="shared" si="37"/>
        <v>100</v>
      </c>
      <c r="L315" s="417"/>
      <c r="M315" s="447"/>
    </row>
    <row r="316" spans="1:13" ht="75" x14ac:dyDescent="0.25">
      <c r="A316" s="492">
        <v>78</v>
      </c>
      <c r="B316" s="384" t="s">
        <v>182</v>
      </c>
      <c r="C316" s="418" t="s">
        <v>149</v>
      </c>
      <c r="D316" s="262" t="s">
        <v>16</v>
      </c>
      <c r="E316" s="412">
        <f>E317</f>
        <v>200000</v>
      </c>
      <c r="F316" s="412">
        <f>F317</f>
        <v>199504.29</v>
      </c>
      <c r="G316" s="413">
        <f t="shared" si="38"/>
        <v>99.752144999999999</v>
      </c>
      <c r="H316" s="414">
        <v>100</v>
      </c>
      <c r="I316" s="412">
        <f>I317</f>
        <v>374812</v>
      </c>
      <c r="J316" s="412">
        <f>J317</f>
        <v>364311.42</v>
      </c>
      <c r="K316" s="413">
        <f t="shared" si="37"/>
        <v>97.198440818330255</v>
      </c>
      <c r="L316" s="414">
        <v>100</v>
      </c>
      <c r="M316" s="444"/>
    </row>
    <row r="317" spans="1:13" s="155" customFormat="1" x14ac:dyDescent="0.25">
      <c r="A317" s="492"/>
      <c r="B317" s="387" t="s">
        <v>13</v>
      </c>
      <c r="C317" s="419"/>
      <c r="D317" s="388"/>
      <c r="E317" s="415">
        <v>200000</v>
      </c>
      <c r="F317" s="415">
        <v>199504.29</v>
      </c>
      <c r="G317" s="416">
        <f t="shared" si="38"/>
        <v>99.752144999999999</v>
      </c>
      <c r="H317" s="417"/>
      <c r="I317" s="415">
        <f>E317+'2016'!E221+'2017'!E237+'2018'!E245</f>
        <v>374812</v>
      </c>
      <c r="J317" s="415">
        <f>F317+'2016'!F221+'2017'!F237+'2018'!F245</f>
        <v>364311.42</v>
      </c>
      <c r="K317" s="416">
        <f t="shared" si="37"/>
        <v>97.198440818330255</v>
      </c>
      <c r="L317" s="417"/>
      <c r="M317" s="447"/>
    </row>
    <row r="318" spans="1:13" ht="120" x14ac:dyDescent="0.25">
      <c r="A318" s="492">
        <v>79</v>
      </c>
      <c r="B318" s="384" t="s">
        <v>183</v>
      </c>
      <c r="C318" s="418" t="s">
        <v>149</v>
      </c>
      <c r="D318" s="262" t="s">
        <v>57</v>
      </c>
      <c r="E318" s="412">
        <f>E319</f>
        <v>50000</v>
      </c>
      <c r="F318" s="412">
        <f>F319</f>
        <v>50000</v>
      </c>
      <c r="G318" s="413">
        <f t="shared" si="38"/>
        <v>100</v>
      </c>
      <c r="H318" s="414">
        <v>100</v>
      </c>
      <c r="I318" s="412">
        <f>I319</f>
        <v>149068</v>
      </c>
      <c r="J318" s="412">
        <f>J319</f>
        <v>149068</v>
      </c>
      <c r="K318" s="413">
        <f t="shared" si="37"/>
        <v>100</v>
      </c>
      <c r="L318" s="414">
        <v>100</v>
      </c>
      <c r="M318" s="444"/>
    </row>
    <row r="319" spans="1:13" s="155" customFormat="1" x14ac:dyDescent="0.25">
      <c r="A319" s="492"/>
      <c r="B319" s="387" t="s">
        <v>13</v>
      </c>
      <c r="C319" s="419"/>
      <c r="D319" s="419"/>
      <c r="E319" s="415">
        <v>50000</v>
      </c>
      <c r="F319" s="415">
        <v>50000</v>
      </c>
      <c r="G319" s="416">
        <f t="shared" si="38"/>
        <v>100</v>
      </c>
      <c r="H319" s="417"/>
      <c r="I319" s="415">
        <f>E319+'2016'!E223+'2017'!E239+'2018'!E247</f>
        <v>149068</v>
      </c>
      <c r="J319" s="415">
        <f>F319+'2016'!F223+'2017'!F239+'2018'!F247</f>
        <v>149068</v>
      </c>
      <c r="K319" s="416">
        <f t="shared" si="37"/>
        <v>100</v>
      </c>
      <c r="L319" s="417"/>
      <c r="M319" s="447"/>
    </row>
    <row r="320" spans="1:13" ht="45" x14ac:dyDescent="0.25">
      <c r="A320" s="492">
        <v>80</v>
      </c>
      <c r="B320" s="384" t="s">
        <v>468</v>
      </c>
      <c r="C320" s="418" t="s">
        <v>149</v>
      </c>
      <c r="D320" s="262"/>
      <c r="E320" s="412">
        <f>E321</f>
        <v>98000.4</v>
      </c>
      <c r="F320" s="412">
        <f>F321</f>
        <v>98000.4</v>
      </c>
      <c r="G320" s="413">
        <f t="shared" si="38"/>
        <v>100</v>
      </c>
      <c r="H320" s="414">
        <v>100</v>
      </c>
      <c r="I320" s="412">
        <f>I321</f>
        <v>4922778.2</v>
      </c>
      <c r="J320" s="412">
        <f>J321</f>
        <v>5067911.7</v>
      </c>
      <c r="K320" s="413">
        <f t="shared" si="37"/>
        <v>102.94820311018684</v>
      </c>
      <c r="L320" s="414">
        <v>100</v>
      </c>
      <c r="M320" s="444"/>
    </row>
    <row r="321" spans="1:13" s="155" customFormat="1" x14ac:dyDescent="0.25">
      <c r="A321" s="492"/>
      <c r="B321" s="387" t="s">
        <v>13</v>
      </c>
      <c r="C321" s="419"/>
      <c r="D321" s="388"/>
      <c r="E321" s="415">
        <f>E323</f>
        <v>98000.4</v>
      </c>
      <c r="F321" s="415">
        <f>F323</f>
        <v>98000.4</v>
      </c>
      <c r="G321" s="416">
        <f t="shared" si="38"/>
        <v>100</v>
      </c>
      <c r="H321" s="417"/>
      <c r="I321" s="415">
        <f>E321+'2016'!E225+'2017'!E241+'2018'!E249</f>
        <v>4922778.2</v>
      </c>
      <c r="J321" s="415">
        <f>F321+'2016'!F225+'2017'!F241+'2018'!F249</f>
        <v>5067911.7</v>
      </c>
      <c r="K321" s="416">
        <f t="shared" ref="K321" si="39">J321/I321*100</f>
        <v>102.94820311018684</v>
      </c>
      <c r="L321" s="417"/>
      <c r="M321" s="447"/>
    </row>
    <row r="322" spans="1:13" s="155" customFormat="1" x14ac:dyDescent="0.25">
      <c r="A322" s="492"/>
      <c r="B322" s="384" t="s">
        <v>163</v>
      </c>
      <c r="C322" s="419"/>
      <c r="D322" s="388"/>
      <c r="E322" s="415"/>
      <c r="F322" s="415"/>
      <c r="G322" s="416"/>
      <c r="H322" s="417"/>
      <c r="I322" s="415"/>
      <c r="J322" s="415"/>
      <c r="K322" s="416"/>
      <c r="L322" s="417"/>
      <c r="M322" s="447"/>
    </row>
    <row r="323" spans="1:13" s="155" customFormat="1" ht="75" x14ac:dyDescent="0.25">
      <c r="A323" s="492"/>
      <c r="B323" s="384" t="s">
        <v>665</v>
      </c>
      <c r="C323" s="419"/>
      <c r="D323" s="492">
        <v>2019</v>
      </c>
      <c r="E323" s="412">
        <v>98000.4</v>
      </c>
      <c r="F323" s="412">
        <v>98000.4</v>
      </c>
      <c r="G323" s="413">
        <f t="shared" si="38"/>
        <v>100</v>
      </c>
      <c r="H323" s="417"/>
      <c r="I323" s="412"/>
      <c r="J323" s="412"/>
      <c r="K323" s="416"/>
      <c r="L323" s="417"/>
      <c r="M323" s="447"/>
    </row>
    <row r="324" spans="1:13" s="155" customFormat="1" ht="30" x14ac:dyDescent="0.25">
      <c r="A324" s="492">
        <v>81</v>
      </c>
      <c r="B324" s="384" t="s">
        <v>633</v>
      </c>
      <c r="C324" s="418" t="s">
        <v>48</v>
      </c>
      <c r="D324" s="484">
        <v>2016</v>
      </c>
      <c r="E324" s="412"/>
      <c r="F324" s="415"/>
      <c r="G324" s="413"/>
      <c r="H324" s="417"/>
      <c r="I324" s="412">
        <f>I325</f>
        <v>5000</v>
      </c>
      <c r="J324" s="412">
        <f>J325</f>
        <v>5000</v>
      </c>
      <c r="K324" s="413">
        <f t="shared" ref="K324:K327" si="40">J324/I324*100</f>
        <v>100</v>
      </c>
      <c r="L324" s="414">
        <v>100</v>
      </c>
      <c r="M324" s="447"/>
    </row>
    <row r="325" spans="1:13" s="155" customFormat="1" ht="18" customHeight="1" x14ac:dyDescent="0.25">
      <c r="A325" s="492"/>
      <c r="B325" s="387" t="s">
        <v>13</v>
      </c>
      <c r="C325" s="419"/>
      <c r="D325" s="388"/>
      <c r="E325" s="412"/>
      <c r="F325" s="415"/>
      <c r="G325" s="413"/>
      <c r="H325" s="417"/>
      <c r="I325" s="415">
        <f>'2016'!E227</f>
        <v>5000</v>
      </c>
      <c r="J325" s="415">
        <f>'2016'!F227</f>
        <v>5000</v>
      </c>
      <c r="K325" s="416">
        <f t="shared" si="40"/>
        <v>100</v>
      </c>
      <c r="L325" s="417"/>
      <c r="M325" s="447"/>
    </row>
    <row r="326" spans="1:13" ht="45" x14ac:dyDescent="0.25">
      <c r="A326" s="492">
        <v>82</v>
      </c>
      <c r="B326" s="384" t="s">
        <v>185</v>
      </c>
      <c r="C326" s="418" t="s">
        <v>48</v>
      </c>
      <c r="D326" s="262" t="s">
        <v>16</v>
      </c>
      <c r="E326" s="412">
        <f>E327</f>
        <v>204802</v>
      </c>
      <c r="F326" s="412">
        <f>F327</f>
        <v>174772.1</v>
      </c>
      <c r="G326" s="413">
        <f t="shared" si="38"/>
        <v>85.337106082948409</v>
      </c>
      <c r="H326" s="414">
        <v>100</v>
      </c>
      <c r="I326" s="412">
        <f>I327</f>
        <v>715461</v>
      </c>
      <c r="J326" s="412">
        <f>J327</f>
        <v>524193.14999999997</v>
      </c>
      <c r="K326" s="413">
        <f t="shared" si="40"/>
        <v>73.266488320118071</v>
      </c>
      <c r="L326" s="414">
        <v>100</v>
      </c>
      <c r="M326" s="384"/>
    </row>
    <row r="327" spans="1:13" s="155" customFormat="1" x14ac:dyDescent="0.25">
      <c r="A327" s="492"/>
      <c r="B327" s="387" t="s">
        <v>13</v>
      </c>
      <c r="C327" s="419"/>
      <c r="D327" s="388"/>
      <c r="E327" s="415">
        <v>204802</v>
      </c>
      <c r="F327" s="415">
        <v>174772.1</v>
      </c>
      <c r="G327" s="416">
        <f t="shared" si="38"/>
        <v>85.337106082948409</v>
      </c>
      <c r="H327" s="417"/>
      <c r="I327" s="415">
        <f>E327+'2016'!E229+'2017'!E243+'2018'!E261</f>
        <v>715461</v>
      </c>
      <c r="J327" s="415">
        <f>F327+'2016'!F229+'2017'!F243+'2018'!F261</f>
        <v>524193.14999999997</v>
      </c>
      <c r="K327" s="416">
        <f t="shared" si="40"/>
        <v>73.266488320118071</v>
      </c>
      <c r="L327" s="417"/>
      <c r="M327" s="429"/>
    </row>
    <row r="328" spans="1:13" s="155" customFormat="1" ht="30" x14ac:dyDescent="0.25">
      <c r="A328" s="492">
        <v>83</v>
      </c>
      <c r="B328" s="384" t="s">
        <v>626</v>
      </c>
      <c r="C328" s="418" t="s">
        <v>186</v>
      </c>
      <c r="D328" s="490"/>
      <c r="E328" s="415"/>
      <c r="F328" s="415"/>
      <c r="G328" s="416"/>
      <c r="H328" s="417"/>
      <c r="I328" s="417"/>
      <c r="J328" s="417"/>
      <c r="K328" s="417"/>
      <c r="L328" s="417"/>
      <c r="M328" s="429"/>
    </row>
    <row r="329" spans="1:13" s="155" customFormat="1" ht="31.5" x14ac:dyDescent="0.25">
      <c r="A329" s="492"/>
      <c r="B329" s="486" t="s">
        <v>627</v>
      </c>
      <c r="C329" s="418"/>
      <c r="D329" s="490">
        <v>2016</v>
      </c>
      <c r="E329" s="415"/>
      <c r="F329" s="415"/>
      <c r="G329" s="416"/>
      <c r="H329" s="417"/>
      <c r="I329" s="412">
        <v>0</v>
      </c>
      <c r="J329" s="412">
        <v>0</v>
      </c>
      <c r="K329" s="417"/>
      <c r="L329" s="414">
        <v>100</v>
      </c>
      <c r="M329" s="429"/>
    </row>
    <row r="330" spans="1:13" s="155" customFormat="1" ht="31.5" x14ac:dyDescent="0.25">
      <c r="A330" s="492"/>
      <c r="B330" s="486" t="s">
        <v>628</v>
      </c>
      <c r="C330" s="418"/>
      <c r="D330" s="490">
        <v>2017</v>
      </c>
      <c r="E330" s="415"/>
      <c r="F330" s="415"/>
      <c r="G330" s="416"/>
      <c r="H330" s="417"/>
      <c r="I330" s="412">
        <v>0</v>
      </c>
      <c r="J330" s="412">
        <v>0</v>
      </c>
      <c r="K330" s="417"/>
      <c r="L330" s="417"/>
      <c r="M330" s="429"/>
    </row>
    <row r="331" spans="1:13" s="155" customFormat="1" ht="31.5" x14ac:dyDescent="0.25">
      <c r="A331" s="492"/>
      <c r="B331" s="486" t="s">
        <v>629</v>
      </c>
      <c r="C331" s="419"/>
      <c r="D331" s="490">
        <v>2017</v>
      </c>
      <c r="E331" s="415"/>
      <c r="F331" s="415"/>
      <c r="G331" s="416"/>
      <c r="H331" s="417"/>
      <c r="I331" s="412">
        <v>0</v>
      </c>
      <c r="J331" s="412">
        <v>0</v>
      </c>
      <c r="K331" s="417"/>
      <c r="L331" s="417"/>
      <c r="M331" s="429"/>
    </row>
    <row r="332" spans="1:13" ht="75" x14ac:dyDescent="0.25">
      <c r="A332" s="492">
        <v>84</v>
      </c>
      <c r="B332" s="384" t="s">
        <v>187</v>
      </c>
      <c r="C332" s="418" t="s">
        <v>186</v>
      </c>
      <c r="D332" s="262" t="s">
        <v>177</v>
      </c>
      <c r="E332" s="412"/>
      <c r="F332" s="412"/>
      <c r="G332" s="413"/>
      <c r="H332" s="414"/>
      <c r="I332" s="412">
        <f>I333</f>
        <v>27500</v>
      </c>
      <c r="J332" s="412">
        <f>J333</f>
        <v>24400</v>
      </c>
      <c r="K332" s="413">
        <f t="shared" ref="K332:K384" si="41">J332/I332*100</f>
        <v>88.727272727272734</v>
      </c>
      <c r="L332" s="414">
        <v>100</v>
      </c>
      <c r="M332" s="444"/>
    </row>
    <row r="333" spans="1:13" s="155" customFormat="1" x14ac:dyDescent="0.25">
      <c r="A333" s="492"/>
      <c r="B333" s="387" t="s">
        <v>22</v>
      </c>
      <c r="C333" s="419"/>
      <c r="D333" s="388"/>
      <c r="E333" s="415"/>
      <c r="F333" s="415"/>
      <c r="G333" s="416"/>
      <c r="H333" s="417"/>
      <c r="I333" s="415">
        <f>'2016'!E232+'2017'!E246+'2018'!E263</f>
        <v>27500</v>
      </c>
      <c r="J333" s="415">
        <f>'2016'!F232+'2017'!F246+'2018'!F263</f>
        <v>24400</v>
      </c>
      <c r="K333" s="416">
        <f t="shared" si="41"/>
        <v>88.727272727272734</v>
      </c>
      <c r="L333" s="417"/>
      <c r="M333" s="447"/>
    </row>
    <row r="334" spans="1:13" ht="90" x14ac:dyDescent="0.25">
      <c r="A334" s="492">
        <v>85</v>
      </c>
      <c r="B334" s="384" t="s">
        <v>188</v>
      </c>
      <c r="C334" s="418" t="s">
        <v>186</v>
      </c>
      <c r="D334" s="262" t="s">
        <v>16</v>
      </c>
      <c r="E334" s="412">
        <f>E335</f>
        <v>6000</v>
      </c>
      <c r="F334" s="412">
        <f>F335</f>
        <v>5900</v>
      </c>
      <c r="G334" s="413">
        <f t="shared" si="38"/>
        <v>98.333333333333329</v>
      </c>
      <c r="H334" s="414">
        <v>100</v>
      </c>
      <c r="I334" s="412">
        <f>I335</f>
        <v>23500</v>
      </c>
      <c r="J334" s="412">
        <f>J335</f>
        <v>21100</v>
      </c>
      <c r="K334" s="413">
        <f t="shared" si="41"/>
        <v>89.787234042553195</v>
      </c>
      <c r="L334" s="414">
        <v>100</v>
      </c>
      <c r="M334" s="444"/>
    </row>
    <row r="335" spans="1:13" s="155" customFormat="1" x14ac:dyDescent="0.25">
      <c r="A335" s="492"/>
      <c r="B335" s="387" t="s">
        <v>22</v>
      </c>
      <c r="C335" s="419"/>
      <c r="D335" s="419"/>
      <c r="E335" s="415">
        <v>6000</v>
      </c>
      <c r="F335" s="415">
        <v>5900</v>
      </c>
      <c r="G335" s="416">
        <f t="shared" si="38"/>
        <v>98.333333333333329</v>
      </c>
      <c r="H335" s="417"/>
      <c r="I335" s="415">
        <f>E335+'2016'!E234+'2017'!E248+'2018'!E265</f>
        <v>23500</v>
      </c>
      <c r="J335" s="415">
        <f>F335+'2016'!F234+'2017'!F248+'2018'!F265</f>
        <v>21100</v>
      </c>
      <c r="K335" s="416">
        <f t="shared" si="41"/>
        <v>89.787234042553195</v>
      </c>
      <c r="L335" s="417"/>
      <c r="M335" s="447"/>
    </row>
    <row r="336" spans="1:13" ht="60" x14ac:dyDescent="0.25">
      <c r="A336" s="492">
        <v>86</v>
      </c>
      <c r="B336" s="384" t="s">
        <v>189</v>
      </c>
      <c r="C336" s="418" t="s">
        <v>186</v>
      </c>
      <c r="D336" s="262" t="s">
        <v>16</v>
      </c>
      <c r="E336" s="412">
        <f>E337</f>
        <v>15000</v>
      </c>
      <c r="F336" s="412">
        <f>F337</f>
        <v>14938</v>
      </c>
      <c r="G336" s="413">
        <f t="shared" si="38"/>
        <v>99.586666666666673</v>
      </c>
      <c r="H336" s="414">
        <v>100</v>
      </c>
      <c r="I336" s="412">
        <f>I337</f>
        <v>40000</v>
      </c>
      <c r="J336" s="412">
        <f>J337</f>
        <v>39920.1</v>
      </c>
      <c r="K336" s="416">
        <f t="shared" si="41"/>
        <v>99.800250000000005</v>
      </c>
      <c r="L336" s="414">
        <v>100</v>
      </c>
      <c r="M336" s="444"/>
    </row>
    <row r="337" spans="1:13" s="155" customFormat="1" x14ac:dyDescent="0.25">
      <c r="A337" s="492"/>
      <c r="B337" s="387" t="s">
        <v>22</v>
      </c>
      <c r="C337" s="419"/>
      <c r="D337" s="419"/>
      <c r="E337" s="415">
        <v>15000</v>
      </c>
      <c r="F337" s="415">
        <v>14938</v>
      </c>
      <c r="G337" s="416">
        <f t="shared" si="38"/>
        <v>99.586666666666673</v>
      </c>
      <c r="H337" s="417"/>
      <c r="I337" s="415">
        <f>E337+'2016'!E236+'2017'!E250+'2018'!E267</f>
        <v>40000</v>
      </c>
      <c r="J337" s="415">
        <f>F337+'2016'!F236+'2017'!F250+'2018'!F267</f>
        <v>39920.1</v>
      </c>
      <c r="K337" s="416">
        <f t="shared" si="41"/>
        <v>99.800250000000005</v>
      </c>
      <c r="L337" s="417"/>
      <c r="M337" s="447"/>
    </row>
    <row r="338" spans="1:13" s="155" customFormat="1" ht="30" x14ac:dyDescent="0.25">
      <c r="A338" s="492">
        <v>87</v>
      </c>
      <c r="B338" s="384" t="s">
        <v>644</v>
      </c>
      <c r="C338" s="418" t="s">
        <v>186</v>
      </c>
      <c r="D338" s="490">
        <v>2016</v>
      </c>
      <c r="E338" s="415"/>
      <c r="F338" s="415"/>
      <c r="G338" s="416"/>
      <c r="H338" s="417"/>
      <c r="I338" s="415"/>
      <c r="J338" s="415"/>
      <c r="K338" s="416"/>
      <c r="L338" s="414">
        <v>100</v>
      </c>
      <c r="M338" s="447"/>
    </row>
    <row r="339" spans="1:13" ht="159" customHeight="1" x14ac:dyDescent="0.25">
      <c r="A339" s="492">
        <v>88</v>
      </c>
      <c r="B339" s="384" t="s">
        <v>190</v>
      </c>
      <c r="C339" s="418" t="s">
        <v>186</v>
      </c>
      <c r="D339" s="262" t="s">
        <v>16</v>
      </c>
      <c r="E339" s="412">
        <f>E340</f>
        <v>25000</v>
      </c>
      <c r="F339" s="412">
        <f>F340</f>
        <v>24889</v>
      </c>
      <c r="G339" s="413">
        <f t="shared" si="38"/>
        <v>99.555999999999997</v>
      </c>
      <c r="H339" s="414">
        <v>100</v>
      </c>
      <c r="I339" s="412">
        <f>I340</f>
        <v>45000</v>
      </c>
      <c r="J339" s="412">
        <f>J340</f>
        <v>44888.800000000003</v>
      </c>
      <c r="K339" s="413">
        <f t="shared" si="41"/>
        <v>99.75288888888889</v>
      </c>
      <c r="L339" s="414">
        <v>100</v>
      </c>
      <c r="M339" s="384"/>
    </row>
    <row r="340" spans="1:13" s="155" customFormat="1" x14ac:dyDescent="0.25">
      <c r="A340" s="492"/>
      <c r="B340" s="387" t="s">
        <v>22</v>
      </c>
      <c r="C340" s="419"/>
      <c r="D340" s="388"/>
      <c r="E340" s="415">
        <v>25000</v>
      </c>
      <c r="F340" s="415">
        <v>24889</v>
      </c>
      <c r="G340" s="416">
        <f t="shared" si="38"/>
        <v>99.555999999999997</v>
      </c>
      <c r="H340" s="417"/>
      <c r="I340" s="415">
        <f>E340+'2018'!E269</f>
        <v>45000</v>
      </c>
      <c r="J340" s="415">
        <f>F340+'2018'!F269</f>
        <v>44888.800000000003</v>
      </c>
      <c r="K340" s="416">
        <f t="shared" si="41"/>
        <v>99.75288888888889</v>
      </c>
      <c r="L340" s="417"/>
      <c r="M340" s="429"/>
    </row>
    <row r="341" spans="1:13" s="155" customFormat="1" ht="17.25" customHeight="1" x14ac:dyDescent="0.25">
      <c r="A341" s="492"/>
      <c r="B341" s="387" t="s">
        <v>139</v>
      </c>
      <c r="C341" s="419"/>
      <c r="D341" s="388"/>
      <c r="E341" s="415"/>
      <c r="F341" s="412"/>
      <c r="G341" s="416"/>
      <c r="H341" s="417"/>
      <c r="I341" s="415">
        <f>'2016'!E239+'2017'!E252</f>
        <v>47000</v>
      </c>
      <c r="J341" s="415">
        <f>'2016'!F239+'2017'!F252</f>
        <v>1048418.7</v>
      </c>
      <c r="K341" s="416">
        <f t="shared" si="41"/>
        <v>2230.6780851063827</v>
      </c>
      <c r="L341" s="417"/>
      <c r="M341" s="429"/>
    </row>
    <row r="342" spans="1:13" s="155" customFormat="1" ht="90" x14ac:dyDescent="0.25">
      <c r="A342" s="492">
        <v>89</v>
      </c>
      <c r="B342" s="384" t="s">
        <v>202</v>
      </c>
      <c r="C342" s="418" t="s">
        <v>186</v>
      </c>
      <c r="D342" s="262" t="s">
        <v>290</v>
      </c>
      <c r="E342" s="412"/>
      <c r="F342" s="412"/>
      <c r="G342" s="413"/>
      <c r="H342" s="414"/>
      <c r="I342" s="412">
        <f>I343</f>
        <v>10000</v>
      </c>
      <c r="J342" s="412">
        <f>J343</f>
        <v>9992.7000000000007</v>
      </c>
      <c r="K342" s="413">
        <f t="shared" si="41"/>
        <v>99.927000000000007</v>
      </c>
      <c r="L342" s="414">
        <v>100</v>
      </c>
      <c r="M342" s="429"/>
    </row>
    <row r="343" spans="1:13" s="155" customFormat="1" x14ac:dyDescent="0.25">
      <c r="A343" s="492"/>
      <c r="B343" s="387" t="s">
        <v>22</v>
      </c>
      <c r="C343" s="419"/>
      <c r="D343" s="388"/>
      <c r="E343" s="415"/>
      <c r="F343" s="412"/>
      <c r="G343" s="416"/>
      <c r="H343" s="417"/>
      <c r="I343" s="415">
        <f>E343+'2017'!E254+'2018'!E271</f>
        <v>10000</v>
      </c>
      <c r="J343" s="415">
        <f>F343+'2017'!F254+'2018'!F271</f>
        <v>9992.7000000000007</v>
      </c>
      <c r="K343" s="416">
        <f t="shared" si="41"/>
        <v>99.927000000000007</v>
      </c>
      <c r="L343" s="417"/>
      <c r="M343" s="429"/>
    </row>
    <row r="344" spans="1:13" s="155" customFormat="1" ht="60" x14ac:dyDescent="0.25">
      <c r="A344" s="492">
        <v>90</v>
      </c>
      <c r="B344" s="384" t="s">
        <v>191</v>
      </c>
      <c r="C344" s="418" t="s">
        <v>186</v>
      </c>
      <c r="D344" s="490" t="s">
        <v>193</v>
      </c>
      <c r="E344" s="415"/>
      <c r="F344" s="412"/>
      <c r="G344" s="416"/>
      <c r="H344" s="417"/>
      <c r="I344" s="412">
        <f>I345</f>
        <v>7000</v>
      </c>
      <c r="J344" s="412">
        <f>J345</f>
        <v>6954.9</v>
      </c>
      <c r="K344" s="413">
        <f t="shared" si="41"/>
        <v>99.355714285714285</v>
      </c>
      <c r="L344" s="414">
        <v>100</v>
      </c>
      <c r="M344" s="429"/>
    </row>
    <row r="345" spans="1:13" s="155" customFormat="1" x14ac:dyDescent="0.25">
      <c r="A345" s="492"/>
      <c r="B345" s="387" t="s">
        <v>22</v>
      </c>
      <c r="C345" s="419"/>
      <c r="D345" s="388"/>
      <c r="E345" s="415"/>
      <c r="F345" s="412"/>
      <c r="G345" s="416"/>
      <c r="H345" s="417"/>
      <c r="I345" s="415">
        <f>'2016'!E241+'2017'!E256</f>
        <v>7000</v>
      </c>
      <c r="J345" s="415">
        <f>'2016'!F241+'2017'!F256</f>
        <v>6954.9</v>
      </c>
      <c r="K345" s="416">
        <f t="shared" si="41"/>
        <v>99.355714285714285</v>
      </c>
      <c r="L345" s="417"/>
      <c r="M345" s="429"/>
    </row>
    <row r="346" spans="1:13" ht="90" x14ac:dyDescent="0.25">
      <c r="A346" s="492">
        <v>91</v>
      </c>
      <c r="B346" s="384" t="s">
        <v>192</v>
      </c>
      <c r="C346" s="418" t="s">
        <v>186</v>
      </c>
      <c r="D346" s="262" t="s">
        <v>175</v>
      </c>
      <c r="E346" s="412"/>
      <c r="F346" s="412"/>
      <c r="G346" s="413"/>
      <c r="H346" s="414"/>
      <c r="I346" s="412">
        <f>I347</f>
        <v>50000</v>
      </c>
      <c r="J346" s="412">
        <f>J347</f>
        <v>49533</v>
      </c>
      <c r="K346" s="413">
        <f t="shared" si="41"/>
        <v>99.066000000000003</v>
      </c>
      <c r="L346" s="414">
        <v>100</v>
      </c>
      <c r="M346" s="384"/>
    </row>
    <row r="347" spans="1:13" s="155" customFormat="1" x14ac:dyDescent="0.25">
      <c r="A347" s="492"/>
      <c r="B347" s="387" t="s">
        <v>22</v>
      </c>
      <c r="C347" s="419"/>
      <c r="D347" s="388"/>
      <c r="E347" s="415"/>
      <c r="F347" s="415"/>
      <c r="G347" s="416"/>
      <c r="H347" s="417"/>
      <c r="I347" s="415">
        <f>'2016'!E243+'2017'!E258+'2018'!E273</f>
        <v>50000</v>
      </c>
      <c r="J347" s="415">
        <f>'2016'!F243+'2017'!F258+'2018'!F273</f>
        <v>49533</v>
      </c>
      <c r="K347" s="416">
        <f t="shared" si="41"/>
        <v>99.066000000000003</v>
      </c>
      <c r="L347" s="417"/>
      <c r="M347" s="429"/>
    </row>
    <row r="348" spans="1:13" s="155" customFormat="1" ht="75" x14ac:dyDescent="0.25">
      <c r="A348" s="492">
        <v>92</v>
      </c>
      <c r="B348" s="384" t="s">
        <v>645</v>
      </c>
      <c r="C348" s="418" t="s">
        <v>186</v>
      </c>
      <c r="D348" s="490">
        <v>2016</v>
      </c>
      <c r="E348" s="415"/>
      <c r="F348" s="415"/>
      <c r="G348" s="416"/>
      <c r="H348" s="417"/>
      <c r="I348" s="412">
        <f>I349</f>
        <v>15000</v>
      </c>
      <c r="J348" s="412">
        <f>J349</f>
        <v>132000</v>
      </c>
      <c r="K348" s="413">
        <f t="shared" si="41"/>
        <v>880.00000000000011</v>
      </c>
      <c r="L348" s="414">
        <v>100</v>
      </c>
      <c r="M348" s="429"/>
    </row>
    <row r="349" spans="1:13" s="155" customFormat="1" ht="20.25" customHeight="1" x14ac:dyDescent="0.25">
      <c r="A349" s="492"/>
      <c r="B349" s="387" t="s">
        <v>139</v>
      </c>
      <c r="C349" s="419"/>
      <c r="D349" s="388"/>
      <c r="E349" s="415"/>
      <c r="F349" s="415"/>
      <c r="G349" s="416"/>
      <c r="H349" s="417"/>
      <c r="I349" s="415">
        <f>'2016'!E245</f>
        <v>15000</v>
      </c>
      <c r="J349" s="415">
        <f>'2016'!F245</f>
        <v>132000</v>
      </c>
      <c r="K349" s="416">
        <f t="shared" si="41"/>
        <v>880.00000000000011</v>
      </c>
      <c r="L349" s="417"/>
      <c r="M349" s="429"/>
    </row>
    <row r="350" spans="1:13" ht="75" x14ac:dyDescent="0.25">
      <c r="A350" s="492">
        <v>93</v>
      </c>
      <c r="B350" s="384" t="s">
        <v>194</v>
      </c>
      <c r="C350" s="418" t="s">
        <v>186</v>
      </c>
      <c r="D350" s="262" t="s">
        <v>16</v>
      </c>
      <c r="E350" s="412">
        <f>E351</f>
        <v>12000</v>
      </c>
      <c r="F350" s="412">
        <f>F351</f>
        <v>10950</v>
      </c>
      <c r="G350" s="413">
        <f t="shared" si="38"/>
        <v>91.25</v>
      </c>
      <c r="H350" s="414">
        <v>100</v>
      </c>
      <c r="I350" s="412">
        <f>I351</f>
        <v>48000</v>
      </c>
      <c r="J350" s="412">
        <f>J351</f>
        <v>44213.7</v>
      </c>
      <c r="K350" s="413">
        <f t="shared" si="41"/>
        <v>92.111874999999998</v>
      </c>
      <c r="L350" s="414">
        <v>100</v>
      </c>
      <c r="M350" s="444"/>
    </row>
    <row r="351" spans="1:13" s="155" customFormat="1" x14ac:dyDescent="0.25">
      <c r="A351" s="492"/>
      <c r="B351" s="387" t="s">
        <v>22</v>
      </c>
      <c r="C351" s="419"/>
      <c r="D351" s="388"/>
      <c r="E351" s="415">
        <v>12000</v>
      </c>
      <c r="F351" s="415">
        <v>10950</v>
      </c>
      <c r="G351" s="416">
        <f t="shared" si="38"/>
        <v>91.25</v>
      </c>
      <c r="H351" s="417"/>
      <c r="I351" s="415">
        <f>E351+'2016'!E247+'2017'!E260+'2018'!E275</f>
        <v>48000</v>
      </c>
      <c r="J351" s="415">
        <f>F351+'2016'!F247+'2017'!F260+'2018'!F275</f>
        <v>44213.7</v>
      </c>
      <c r="K351" s="416">
        <f t="shared" si="41"/>
        <v>92.111874999999998</v>
      </c>
      <c r="L351" s="417"/>
      <c r="M351" s="447"/>
    </row>
    <row r="352" spans="1:13" ht="45" x14ac:dyDescent="0.25">
      <c r="A352" s="492">
        <v>94</v>
      </c>
      <c r="B352" s="384" t="s">
        <v>195</v>
      </c>
      <c r="C352" s="418" t="s">
        <v>186</v>
      </c>
      <c r="D352" s="262" t="s">
        <v>16</v>
      </c>
      <c r="E352" s="412">
        <f>E353</f>
        <v>5000</v>
      </c>
      <c r="F352" s="412">
        <f>F353</f>
        <v>4999</v>
      </c>
      <c r="G352" s="413">
        <f t="shared" si="38"/>
        <v>99.98</v>
      </c>
      <c r="H352" s="414">
        <v>100</v>
      </c>
      <c r="I352" s="412">
        <f>I353</f>
        <v>20000</v>
      </c>
      <c r="J352" s="412">
        <f>J353</f>
        <v>19995.099999999999</v>
      </c>
      <c r="K352" s="413">
        <f t="shared" si="41"/>
        <v>99.975499999999997</v>
      </c>
      <c r="L352" s="414">
        <v>100</v>
      </c>
      <c r="M352" s="444"/>
    </row>
    <row r="353" spans="1:13" s="155" customFormat="1" x14ac:dyDescent="0.25">
      <c r="A353" s="492"/>
      <c r="B353" s="387" t="s">
        <v>22</v>
      </c>
      <c r="C353" s="419"/>
      <c r="D353" s="388"/>
      <c r="E353" s="415">
        <v>5000</v>
      </c>
      <c r="F353" s="415">
        <v>4999</v>
      </c>
      <c r="G353" s="416">
        <f t="shared" si="38"/>
        <v>99.98</v>
      </c>
      <c r="H353" s="417"/>
      <c r="I353" s="415">
        <f>E353+'2016'!E249+'2017'!E262+'2018'!E277</f>
        <v>20000</v>
      </c>
      <c r="J353" s="415">
        <f>F353+'2016'!F249+'2017'!F262+'2018'!F277</f>
        <v>19995.099999999999</v>
      </c>
      <c r="K353" s="416">
        <f t="shared" si="41"/>
        <v>99.975499999999997</v>
      </c>
      <c r="L353" s="417"/>
      <c r="M353" s="447"/>
    </row>
    <row r="354" spans="1:13" ht="93" customHeight="1" x14ac:dyDescent="0.25">
      <c r="A354" s="492">
        <v>95</v>
      </c>
      <c r="B354" s="384" t="s">
        <v>196</v>
      </c>
      <c r="C354" s="418" t="s">
        <v>186</v>
      </c>
      <c r="D354" s="262" t="s">
        <v>16</v>
      </c>
      <c r="E354" s="412">
        <f>E355</f>
        <v>3000</v>
      </c>
      <c r="F354" s="412">
        <f>F355</f>
        <v>3009</v>
      </c>
      <c r="G354" s="413">
        <f t="shared" si="38"/>
        <v>100.29999999999998</v>
      </c>
      <c r="H354" s="414">
        <v>100</v>
      </c>
      <c r="I354" s="412">
        <f>I355</f>
        <v>12000</v>
      </c>
      <c r="J354" s="412">
        <f>J355</f>
        <v>11985.8</v>
      </c>
      <c r="K354" s="413">
        <f t="shared" si="41"/>
        <v>99.881666666666661</v>
      </c>
      <c r="L354" s="414">
        <v>100</v>
      </c>
      <c r="M354" s="449"/>
    </row>
    <row r="355" spans="1:13" s="155" customFormat="1" x14ac:dyDescent="0.25">
      <c r="A355" s="492"/>
      <c r="B355" s="387" t="s">
        <v>22</v>
      </c>
      <c r="C355" s="419"/>
      <c r="D355" s="388"/>
      <c r="E355" s="415">
        <v>3000</v>
      </c>
      <c r="F355" s="415">
        <v>3009</v>
      </c>
      <c r="G355" s="416">
        <f t="shared" si="38"/>
        <v>100.29999999999998</v>
      </c>
      <c r="H355" s="417"/>
      <c r="I355" s="415">
        <f>E355+'2016'!E251+'2017'!E264+'2018'!E279</f>
        <v>12000</v>
      </c>
      <c r="J355" s="415">
        <f>F355+'2016'!F251+'2017'!F264+'2018'!F279</f>
        <v>11985.8</v>
      </c>
      <c r="K355" s="416">
        <f t="shared" si="41"/>
        <v>99.881666666666661</v>
      </c>
      <c r="L355" s="417"/>
      <c r="M355" s="447"/>
    </row>
    <row r="356" spans="1:13" s="155" customFormat="1" ht="45" x14ac:dyDescent="0.25">
      <c r="A356" s="492">
        <v>96</v>
      </c>
      <c r="B356" s="384" t="s">
        <v>646</v>
      </c>
      <c r="C356" s="418" t="s">
        <v>197</v>
      </c>
      <c r="D356" s="490">
        <v>2018</v>
      </c>
      <c r="E356" s="415"/>
      <c r="F356" s="415"/>
      <c r="G356" s="416"/>
      <c r="H356" s="417"/>
      <c r="I356" s="415"/>
      <c r="J356" s="415"/>
      <c r="K356" s="413"/>
      <c r="L356" s="414">
        <v>100</v>
      </c>
      <c r="M356" s="447"/>
    </row>
    <row r="357" spans="1:13" ht="75" x14ac:dyDescent="0.25">
      <c r="A357" s="492">
        <v>97</v>
      </c>
      <c r="B357" s="384" t="s">
        <v>187</v>
      </c>
      <c r="C357" s="418" t="s">
        <v>197</v>
      </c>
      <c r="D357" s="262" t="s">
        <v>16</v>
      </c>
      <c r="E357" s="412">
        <f>E358</f>
        <v>19200</v>
      </c>
      <c r="F357" s="412">
        <f>F358</f>
        <v>19200</v>
      </c>
      <c r="G357" s="413">
        <f t="shared" si="38"/>
        <v>100</v>
      </c>
      <c r="H357" s="414">
        <v>100</v>
      </c>
      <c r="I357" s="412">
        <f>I358</f>
        <v>103630</v>
      </c>
      <c r="J357" s="412">
        <f>J358</f>
        <v>97110</v>
      </c>
      <c r="K357" s="413">
        <f t="shared" si="41"/>
        <v>93.708385602624716</v>
      </c>
      <c r="L357" s="414">
        <v>100</v>
      </c>
      <c r="M357" s="444"/>
    </row>
    <row r="358" spans="1:13" s="155" customFormat="1" x14ac:dyDescent="0.25">
      <c r="A358" s="492"/>
      <c r="B358" s="387" t="s">
        <v>22</v>
      </c>
      <c r="C358" s="419"/>
      <c r="D358" s="388"/>
      <c r="E358" s="415">
        <v>19200</v>
      </c>
      <c r="F358" s="415">
        <v>19200</v>
      </c>
      <c r="G358" s="416">
        <f t="shared" si="38"/>
        <v>100</v>
      </c>
      <c r="H358" s="417"/>
      <c r="I358" s="415">
        <f>E358+'2016'!E253+'2017'!E266+'2018'!E281</f>
        <v>103630</v>
      </c>
      <c r="J358" s="415">
        <f>F358+'2016'!F253+'2017'!F266+'2018'!F281</f>
        <v>97110</v>
      </c>
      <c r="K358" s="416">
        <f t="shared" si="41"/>
        <v>93.708385602624716</v>
      </c>
      <c r="L358" s="417"/>
      <c r="M358" s="447"/>
    </row>
    <row r="359" spans="1:13" ht="90" x14ac:dyDescent="0.25">
      <c r="A359" s="492">
        <v>98</v>
      </c>
      <c r="B359" s="384" t="s">
        <v>188</v>
      </c>
      <c r="C359" s="418" t="s">
        <v>197</v>
      </c>
      <c r="D359" s="262" t="s">
        <v>175</v>
      </c>
      <c r="E359" s="412"/>
      <c r="F359" s="412"/>
      <c r="G359" s="413"/>
      <c r="H359" s="414"/>
      <c r="I359" s="412">
        <f>I360</f>
        <v>25550</v>
      </c>
      <c r="J359" s="412">
        <f>J360</f>
        <v>22700</v>
      </c>
      <c r="K359" s="413">
        <f t="shared" si="41"/>
        <v>88.845401174168288</v>
      </c>
      <c r="L359" s="414">
        <v>100</v>
      </c>
      <c r="M359" s="444"/>
    </row>
    <row r="360" spans="1:13" s="155" customFormat="1" x14ac:dyDescent="0.25">
      <c r="A360" s="492"/>
      <c r="B360" s="387" t="s">
        <v>22</v>
      </c>
      <c r="C360" s="419"/>
      <c r="D360" s="388"/>
      <c r="E360" s="415"/>
      <c r="F360" s="415"/>
      <c r="G360" s="416"/>
      <c r="H360" s="417"/>
      <c r="I360" s="415">
        <f>E360+'2016'!E255+'2017'!E268+'2018'!E283</f>
        <v>25550</v>
      </c>
      <c r="J360" s="415">
        <f>F360+'2016'!F255+'2017'!F268+'2018'!F283</f>
        <v>22700</v>
      </c>
      <c r="K360" s="416">
        <f t="shared" si="41"/>
        <v>88.845401174168288</v>
      </c>
      <c r="L360" s="417"/>
      <c r="M360" s="447"/>
    </row>
    <row r="361" spans="1:13" ht="60" x14ac:dyDescent="0.25">
      <c r="A361" s="492">
        <v>99</v>
      </c>
      <c r="B361" s="384" t="s">
        <v>198</v>
      </c>
      <c r="C361" s="418" t="s">
        <v>197</v>
      </c>
      <c r="D361" s="490" t="s">
        <v>175</v>
      </c>
      <c r="E361" s="412"/>
      <c r="F361" s="412"/>
      <c r="G361" s="413"/>
      <c r="H361" s="414"/>
      <c r="I361" s="412">
        <f>I362</f>
        <v>35900</v>
      </c>
      <c r="J361" s="412">
        <f>J362</f>
        <v>27900</v>
      </c>
      <c r="K361" s="413">
        <f t="shared" si="41"/>
        <v>77.715877437325915</v>
      </c>
      <c r="L361" s="414">
        <v>100</v>
      </c>
      <c r="M361" s="445"/>
    </row>
    <row r="362" spans="1:13" s="155" customFormat="1" x14ac:dyDescent="0.25">
      <c r="A362" s="492"/>
      <c r="B362" s="387" t="s">
        <v>22</v>
      </c>
      <c r="C362" s="419"/>
      <c r="D362" s="388"/>
      <c r="E362" s="415"/>
      <c r="F362" s="415"/>
      <c r="G362" s="416"/>
      <c r="H362" s="417"/>
      <c r="I362" s="415">
        <f>E362+'2016'!E257+'2017'!E270+'2018'!E285</f>
        <v>35900</v>
      </c>
      <c r="J362" s="415">
        <f>F362+'2016'!F257+'2017'!F270+'2018'!F285</f>
        <v>27900</v>
      </c>
      <c r="K362" s="416">
        <f t="shared" si="41"/>
        <v>77.715877437325915</v>
      </c>
      <c r="L362" s="417"/>
      <c r="M362" s="447"/>
    </row>
    <row r="363" spans="1:13" ht="60" x14ac:dyDescent="0.25">
      <c r="A363" s="492">
        <v>100</v>
      </c>
      <c r="B363" s="384" t="s">
        <v>199</v>
      </c>
      <c r="C363" s="418" t="s">
        <v>197</v>
      </c>
      <c r="D363" s="262" t="s">
        <v>16</v>
      </c>
      <c r="E363" s="412">
        <f>E364</f>
        <v>10000</v>
      </c>
      <c r="F363" s="412">
        <f>F364</f>
        <v>9969.4599999999991</v>
      </c>
      <c r="G363" s="413">
        <f t="shared" si="38"/>
        <v>99.694599999999994</v>
      </c>
      <c r="H363" s="414">
        <v>100</v>
      </c>
      <c r="I363" s="412">
        <f>I364</f>
        <v>40000</v>
      </c>
      <c r="J363" s="412">
        <f>J364</f>
        <v>39925.83</v>
      </c>
      <c r="K363" s="413">
        <f t="shared" si="41"/>
        <v>99.814575000000005</v>
      </c>
      <c r="L363" s="414">
        <v>100</v>
      </c>
      <c r="M363" s="444"/>
    </row>
    <row r="364" spans="1:13" s="155" customFormat="1" x14ac:dyDescent="0.25">
      <c r="A364" s="492"/>
      <c r="B364" s="387" t="s">
        <v>22</v>
      </c>
      <c r="C364" s="419"/>
      <c r="D364" s="388"/>
      <c r="E364" s="415">
        <v>10000</v>
      </c>
      <c r="F364" s="415">
        <v>9969.4599999999991</v>
      </c>
      <c r="G364" s="416">
        <f t="shared" ref="G364:G444" si="42">F364/E364*100</f>
        <v>99.694599999999994</v>
      </c>
      <c r="H364" s="417"/>
      <c r="I364" s="415">
        <f>E364+'2016'!E259+'2017'!E272+'2018'!E287</f>
        <v>40000</v>
      </c>
      <c r="J364" s="415">
        <f>F364+'2016'!F259+'2017'!F272+'2018'!F287</f>
        <v>39925.83</v>
      </c>
      <c r="K364" s="416">
        <f t="shared" si="41"/>
        <v>99.814575000000005</v>
      </c>
      <c r="L364" s="417"/>
      <c r="M364" s="447"/>
    </row>
    <row r="365" spans="1:13" s="155" customFormat="1" ht="45" x14ac:dyDescent="0.25">
      <c r="A365" s="492">
        <v>101</v>
      </c>
      <c r="B365" s="384" t="s">
        <v>391</v>
      </c>
      <c r="C365" s="418" t="s">
        <v>197</v>
      </c>
      <c r="D365" s="490">
        <v>2016</v>
      </c>
      <c r="E365" s="415"/>
      <c r="F365" s="415"/>
      <c r="G365" s="416"/>
      <c r="H365" s="417"/>
      <c r="I365" s="415"/>
      <c r="J365" s="415"/>
      <c r="K365" s="416"/>
      <c r="L365" s="414">
        <v>100</v>
      </c>
      <c r="M365" s="447"/>
    </row>
    <row r="366" spans="1:13" s="155" customFormat="1" x14ac:dyDescent="0.25">
      <c r="A366" s="492"/>
      <c r="B366" s="387" t="s">
        <v>22</v>
      </c>
      <c r="C366" s="419"/>
      <c r="D366" s="388"/>
      <c r="E366" s="415"/>
      <c r="F366" s="415"/>
      <c r="G366" s="416"/>
      <c r="H366" s="417"/>
      <c r="I366" s="415"/>
      <c r="J366" s="415"/>
      <c r="K366" s="416"/>
      <c r="L366" s="417"/>
      <c r="M366" s="447"/>
    </row>
    <row r="367" spans="1:13" ht="105" x14ac:dyDescent="0.25">
      <c r="A367" s="492">
        <v>102</v>
      </c>
      <c r="B367" s="384" t="s">
        <v>200</v>
      </c>
      <c r="C367" s="418" t="s">
        <v>197</v>
      </c>
      <c r="D367" s="262" t="s">
        <v>16</v>
      </c>
      <c r="E367" s="412">
        <f>E368</f>
        <v>5000</v>
      </c>
      <c r="F367" s="412">
        <f>F368</f>
        <v>3756.54</v>
      </c>
      <c r="G367" s="413">
        <f t="shared" si="42"/>
        <v>75.130799999999994</v>
      </c>
      <c r="H367" s="414">
        <v>100</v>
      </c>
      <c r="I367" s="412">
        <f>I368</f>
        <v>55000</v>
      </c>
      <c r="J367" s="412">
        <f>J368</f>
        <v>42746.600000000006</v>
      </c>
      <c r="K367" s="413">
        <f t="shared" si="41"/>
        <v>77.721090909090918</v>
      </c>
      <c r="L367" s="414">
        <v>100</v>
      </c>
      <c r="M367" s="445"/>
    </row>
    <row r="368" spans="1:13" s="155" customFormat="1" x14ac:dyDescent="0.25">
      <c r="A368" s="492"/>
      <c r="B368" s="387" t="s">
        <v>22</v>
      </c>
      <c r="C368" s="419"/>
      <c r="D368" s="388"/>
      <c r="E368" s="415">
        <v>5000</v>
      </c>
      <c r="F368" s="415">
        <v>3756.54</v>
      </c>
      <c r="G368" s="416">
        <f t="shared" si="42"/>
        <v>75.130799999999994</v>
      </c>
      <c r="H368" s="417"/>
      <c r="I368" s="415">
        <f>E368+'2016'!E262+'2017'!E274+'2018'!E289</f>
        <v>55000</v>
      </c>
      <c r="J368" s="415">
        <f>F368+'2016'!F262+'2017'!F274+'2018'!F289</f>
        <v>42746.600000000006</v>
      </c>
      <c r="K368" s="416">
        <f t="shared" si="41"/>
        <v>77.721090909090918</v>
      </c>
      <c r="L368" s="417"/>
      <c r="M368" s="429"/>
    </row>
    <row r="369" spans="1:13" s="155" customFormat="1" ht="60" x14ac:dyDescent="0.25">
      <c r="A369" s="492">
        <v>103</v>
      </c>
      <c r="B369" s="384" t="s">
        <v>191</v>
      </c>
      <c r="C369" s="418" t="s">
        <v>197</v>
      </c>
      <c r="D369" s="490" t="s">
        <v>415</v>
      </c>
      <c r="E369" s="415"/>
      <c r="F369" s="415"/>
      <c r="G369" s="416"/>
      <c r="H369" s="417"/>
      <c r="I369" s="412">
        <f>I370</f>
        <v>7000</v>
      </c>
      <c r="J369" s="412">
        <f>J370</f>
        <v>6755.15</v>
      </c>
      <c r="K369" s="413">
        <f t="shared" si="41"/>
        <v>96.502142857142843</v>
      </c>
      <c r="L369" s="414">
        <v>100</v>
      </c>
      <c r="M369" s="429"/>
    </row>
    <row r="370" spans="1:13" s="155" customFormat="1" x14ac:dyDescent="0.25">
      <c r="A370" s="492"/>
      <c r="B370" s="387" t="s">
        <v>22</v>
      </c>
      <c r="C370" s="419"/>
      <c r="D370" s="388"/>
      <c r="E370" s="415"/>
      <c r="F370" s="415"/>
      <c r="G370" s="416"/>
      <c r="H370" s="417"/>
      <c r="I370" s="415">
        <f>'2016'!E264+'2017'!E276</f>
        <v>7000</v>
      </c>
      <c r="J370" s="415">
        <f>'2016'!F264+'2017'!F276</f>
        <v>6755.15</v>
      </c>
      <c r="K370" s="416">
        <f t="shared" si="41"/>
        <v>96.502142857142843</v>
      </c>
      <c r="L370" s="417"/>
      <c r="M370" s="429"/>
    </row>
    <row r="371" spans="1:13" ht="90" x14ac:dyDescent="0.25">
      <c r="A371" s="492">
        <v>104</v>
      </c>
      <c r="B371" s="384" t="s">
        <v>192</v>
      </c>
      <c r="C371" s="418" t="s">
        <v>197</v>
      </c>
      <c r="D371" s="262" t="s">
        <v>175</v>
      </c>
      <c r="E371" s="412"/>
      <c r="F371" s="412"/>
      <c r="G371" s="413"/>
      <c r="H371" s="414"/>
      <c r="I371" s="412">
        <f>I372</f>
        <v>50000</v>
      </c>
      <c r="J371" s="412">
        <f>J372</f>
        <v>49964.09</v>
      </c>
      <c r="K371" s="413">
        <f t="shared" si="41"/>
        <v>99.928179999999983</v>
      </c>
      <c r="L371" s="414">
        <v>100</v>
      </c>
      <c r="M371" s="384"/>
    </row>
    <row r="372" spans="1:13" s="155" customFormat="1" x14ac:dyDescent="0.25">
      <c r="A372" s="492"/>
      <c r="B372" s="387" t="s">
        <v>22</v>
      </c>
      <c r="C372" s="419"/>
      <c r="D372" s="388"/>
      <c r="E372" s="415"/>
      <c r="F372" s="415"/>
      <c r="G372" s="416"/>
      <c r="H372" s="417"/>
      <c r="I372" s="415">
        <f>E372+'2016'!E266+'2017'!E278+'2018'!E291</f>
        <v>50000</v>
      </c>
      <c r="J372" s="415">
        <f>F372+'2016'!F266+'2017'!F278+'2018'!F291</f>
        <v>49964.09</v>
      </c>
      <c r="K372" s="416">
        <f t="shared" si="41"/>
        <v>99.928179999999983</v>
      </c>
      <c r="L372" s="417"/>
      <c r="M372" s="429"/>
    </row>
    <row r="373" spans="1:13" s="155" customFormat="1" ht="75" x14ac:dyDescent="0.25">
      <c r="A373" s="492">
        <v>105</v>
      </c>
      <c r="B373" s="384" t="s">
        <v>194</v>
      </c>
      <c r="C373" s="418" t="s">
        <v>197</v>
      </c>
      <c r="D373" s="490" t="s">
        <v>415</v>
      </c>
      <c r="E373" s="415"/>
      <c r="F373" s="415"/>
      <c r="G373" s="416"/>
      <c r="H373" s="417"/>
      <c r="I373" s="412">
        <f>I374</f>
        <v>40000</v>
      </c>
      <c r="J373" s="412">
        <f>J374</f>
        <v>34580</v>
      </c>
      <c r="K373" s="413">
        <f t="shared" si="41"/>
        <v>86.45</v>
      </c>
      <c r="L373" s="414">
        <v>100</v>
      </c>
      <c r="M373" s="429"/>
    </row>
    <row r="374" spans="1:13" s="155" customFormat="1" x14ac:dyDescent="0.25">
      <c r="A374" s="492"/>
      <c r="B374" s="387" t="s">
        <v>22</v>
      </c>
      <c r="C374" s="419"/>
      <c r="D374" s="388"/>
      <c r="E374" s="415"/>
      <c r="F374" s="415"/>
      <c r="G374" s="416"/>
      <c r="H374" s="417"/>
      <c r="I374" s="415">
        <f>'2016'!E268+'2017'!E280</f>
        <v>40000</v>
      </c>
      <c r="J374" s="415">
        <f>'2016'!F268+'2017'!F280</f>
        <v>34580</v>
      </c>
      <c r="K374" s="416">
        <f t="shared" si="41"/>
        <v>86.45</v>
      </c>
      <c r="L374" s="417"/>
      <c r="M374" s="429"/>
    </row>
    <row r="375" spans="1:13" ht="45" x14ac:dyDescent="0.25">
      <c r="A375" s="492">
        <v>106</v>
      </c>
      <c r="B375" s="384" t="s">
        <v>195</v>
      </c>
      <c r="C375" s="418" t="s">
        <v>197</v>
      </c>
      <c r="D375" s="262" t="s">
        <v>16</v>
      </c>
      <c r="E375" s="412"/>
      <c r="F375" s="412"/>
      <c r="G375" s="413"/>
      <c r="H375" s="414"/>
      <c r="I375" s="412">
        <f>I376</f>
        <v>15000</v>
      </c>
      <c r="J375" s="412">
        <f>J376</f>
        <v>12235.96</v>
      </c>
      <c r="K375" s="413">
        <f t="shared" si="41"/>
        <v>81.573066666666662</v>
      </c>
      <c r="L375" s="414">
        <v>100</v>
      </c>
      <c r="M375" s="384"/>
    </row>
    <row r="376" spans="1:13" s="155" customFormat="1" x14ac:dyDescent="0.25">
      <c r="A376" s="492"/>
      <c r="B376" s="387" t="s">
        <v>22</v>
      </c>
      <c r="C376" s="419"/>
      <c r="D376" s="388"/>
      <c r="E376" s="415"/>
      <c r="F376" s="415"/>
      <c r="G376" s="416"/>
      <c r="H376" s="417"/>
      <c r="I376" s="415">
        <f>E376+'2016'!E270+'2017'!E282+'2018'!E293</f>
        <v>15000</v>
      </c>
      <c r="J376" s="415">
        <f>F376+'2016'!F270+'2017'!F282+'2018'!F293</f>
        <v>12235.96</v>
      </c>
      <c r="K376" s="416">
        <f t="shared" si="41"/>
        <v>81.573066666666662</v>
      </c>
      <c r="L376" s="417"/>
      <c r="M376" s="429"/>
    </row>
    <row r="377" spans="1:13" s="155" customFormat="1" ht="60" x14ac:dyDescent="0.25">
      <c r="A377" s="492">
        <v>107</v>
      </c>
      <c r="B377" s="384" t="s">
        <v>291</v>
      </c>
      <c r="C377" s="418" t="s">
        <v>197</v>
      </c>
      <c r="D377" s="262" t="s">
        <v>292</v>
      </c>
      <c r="E377" s="412"/>
      <c r="F377" s="412"/>
      <c r="G377" s="413"/>
      <c r="H377" s="414"/>
      <c r="I377" s="412">
        <f>I378</f>
        <v>12000</v>
      </c>
      <c r="J377" s="412">
        <f>J378</f>
        <v>14990.71</v>
      </c>
      <c r="K377" s="413">
        <f t="shared" si="41"/>
        <v>124.92258333333332</v>
      </c>
      <c r="L377" s="414">
        <v>100</v>
      </c>
      <c r="M377" s="429"/>
    </row>
    <row r="378" spans="1:13" s="155" customFormat="1" x14ac:dyDescent="0.25">
      <c r="A378" s="492"/>
      <c r="B378" s="387" t="s">
        <v>22</v>
      </c>
      <c r="C378" s="419"/>
      <c r="D378" s="388"/>
      <c r="E378" s="415"/>
      <c r="F378" s="415"/>
      <c r="G378" s="416"/>
      <c r="H378" s="417"/>
      <c r="I378" s="415">
        <f>'2017'!E284+'2018'!E295</f>
        <v>12000</v>
      </c>
      <c r="J378" s="415">
        <f>'2017'!F284+'2018'!F295</f>
        <v>14990.71</v>
      </c>
      <c r="K378" s="416">
        <f t="shared" si="41"/>
        <v>124.92258333333332</v>
      </c>
      <c r="L378" s="417"/>
      <c r="M378" s="429"/>
    </row>
    <row r="379" spans="1:13" s="155" customFormat="1" ht="75" x14ac:dyDescent="0.25">
      <c r="A379" s="492">
        <v>108</v>
      </c>
      <c r="B379" s="384" t="s">
        <v>187</v>
      </c>
      <c r="C379" s="418" t="s">
        <v>21</v>
      </c>
      <c r="D379" s="490" t="s">
        <v>649</v>
      </c>
      <c r="E379" s="412">
        <f>E380</f>
        <v>11910</v>
      </c>
      <c r="F379" s="412">
        <f>F380</f>
        <v>11910</v>
      </c>
      <c r="G379" s="413">
        <f t="shared" ref="G379:G384" si="43">F379/E379*100</f>
        <v>100</v>
      </c>
      <c r="H379" s="414">
        <v>100</v>
      </c>
      <c r="I379" s="412">
        <f>I380</f>
        <v>15910</v>
      </c>
      <c r="J379" s="412">
        <f>J380</f>
        <v>15910</v>
      </c>
      <c r="K379" s="413">
        <f t="shared" si="41"/>
        <v>100</v>
      </c>
      <c r="L379" s="414">
        <v>100</v>
      </c>
      <c r="M379" s="429"/>
    </row>
    <row r="380" spans="1:13" s="155" customFormat="1" ht="15.75" x14ac:dyDescent="0.25">
      <c r="A380" s="492"/>
      <c r="B380" s="387" t="s">
        <v>22</v>
      </c>
      <c r="C380" s="419"/>
      <c r="D380" s="48"/>
      <c r="E380" s="415">
        <v>11910</v>
      </c>
      <c r="F380" s="415">
        <v>11910</v>
      </c>
      <c r="G380" s="416">
        <f t="shared" si="43"/>
        <v>100</v>
      </c>
      <c r="H380" s="417"/>
      <c r="I380" s="415">
        <f>E380+'2016'!E272</f>
        <v>15910</v>
      </c>
      <c r="J380" s="415">
        <f>F380+'2016'!F272</f>
        <v>15910</v>
      </c>
      <c r="K380" s="416">
        <f t="shared" si="41"/>
        <v>100</v>
      </c>
      <c r="L380" s="417"/>
      <c r="M380" s="429"/>
    </row>
    <row r="381" spans="1:13" s="155" customFormat="1" ht="90" x14ac:dyDescent="0.25">
      <c r="A381" s="492">
        <v>109</v>
      </c>
      <c r="B381" s="384" t="s">
        <v>188</v>
      </c>
      <c r="C381" s="418" t="s">
        <v>21</v>
      </c>
      <c r="D381" s="490" t="s">
        <v>649</v>
      </c>
      <c r="E381" s="412">
        <f>E382</f>
        <v>15170.2</v>
      </c>
      <c r="F381" s="412">
        <f>F382</f>
        <v>15170</v>
      </c>
      <c r="G381" s="413">
        <f t="shared" si="43"/>
        <v>99.998681625819032</v>
      </c>
      <c r="H381" s="414">
        <v>100</v>
      </c>
      <c r="I381" s="412">
        <f>I382</f>
        <v>20170.2</v>
      </c>
      <c r="J381" s="412">
        <f>J382</f>
        <v>20170</v>
      </c>
      <c r="K381" s="413">
        <f t="shared" si="41"/>
        <v>99.999008438190998</v>
      </c>
      <c r="L381" s="414">
        <v>100</v>
      </c>
      <c r="M381" s="429"/>
    </row>
    <row r="382" spans="1:13" s="155" customFormat="1" x14ac:dyDescent="0.25">
      <c r="A382" s="492"/>
      <c r="B382" s="387" t="s">
        <v>22</v>
      </c>
      <c r="C382" s="419"/>
      <c r="D382" s="388"/>
      <c r="E382" s="415">
        <v>15170.2</v>
      </c>
      <c r="F382" s="415">
        <v>15170</v>
      </c>
      <c r="G382" s="416">
        <f t="shared" si="43"/>
        <v>99.998681625819032</v>
      </c>
      <c r="H382" s="417"/>
      <c r="I382" s="415">
        <f>E382+'2016'!E274</f>
        <v>20170.2</v>
      </c>
      <c r="J382" s="415">
        <f>F382+'2016'!F274</f>
        <v>20170</v>
      </c>
      <c r="K382" s="416">
        <f t="shared" si="41"/>
        <v>99.999008438190998</v>
      </c>
      <c r="L382" s="417"/>
      <c r="M382" s="429"/>
    </row>
    <row r="383" spans="1:13" s="155" customFormat="1" ht="74.25" customHeight="1" x14ac:dyDescent="0.25">
      <c r="A383" s="492">
        <v>110</v>
      </c>
      <c r="B383" s="384" t="s">
        <v>201</v>
      </c>
      <c r="C383" s="418" t="s">
        <v>21</v>
      </c>
      <c r="D383" s="490" t="s">
        <v>649</v>
      </c>
      <c r="E383" s="412">
        <f>E384</f>
        <v>15000</v>
      </c>
      <c r="F383" s="412">
        <f>F384</f>
        <v>14972.8</v>
      </c>
      <c r="G383" s="413">
        <f t="shared" si="43"/>
        <v>99.818666666666672</v>
      </c>
      <c r="H383" s="414">
        <v>100</v>
      </c>
      <c r="I383" s="412">
        <f>I384</f>
        <v>18000</v>
      </c>
      <c r="J383" s="412">
        <f>J384</f>
        <v>17972.8</v>
      </c>
      <c r="K383" s="413">
        <f t="shared" si="41"/>
        <v>99.848888888888894</v>
      </c>
      <c r="L383" s="414">
        <v>100</v>
      </c>
      <c r="M383" s="429"/>
    </row>
    <row r="384" spans="1:13" s="155" customFormat="1" x14ac:dyDescent="0.25">
      <c r="A384" s="492"/>
      <c r="B384" s="387" t="s">
        <v>22</v>
      </c>
      <c r="C384" s="419"/>
      <c r="D384" s="388"/>
      <c r="E384" s="415">
        <v>15000</v>
      </c>
      <c r="F384" s="415">
        <v>14972.8</v>
      </c>
      <c r="G384" s="416">
        <f t="shared" si="43"/>
        <v>99.818666666666672</v>
      </c>
      <c r="H384" s="417"/>
      <c r="I384" s="415">
        <f>E384+'2016'!E276</f>
        <v>18000</v>
      </c>
      <c r="J384" s="415">
        <f>F384+'2016'!F276</f>
        <v>17972.8</v>
      </c>
      <c r="K384" s="416">
        <f t="shared" si="41"/>
        <v>99.848888888888894</v>
      </c>
      <c r="L384" s="417"/>
      <c r="M384" s="429"/>
    </row>
    <row r="385" spans="1:13" s="155" customFormat="1" ht="30" x14ac:dyDescent="0.25">
      <c r="A385" s="492">
        <v>111</v>
      </c>
      <c r="B385" s="384" t="s">
        <v>650</v>
      </c>
      <c r="C385" s="419"/>
      <c r="D385" s="388"/>
      <c r="E385" s="415"/>
      <c r="F385" s="415"/>
      <c r="G385" s="416"/>
      <c r="H385" s="417"/>
      <c r="I385" s="415"/>
      <c r="J385" s="415"/>
      <c r="K385" s="416"/>
      <c r="L385" s="414">
        <v>100</v>
      </c>
      <c r="M385" s="429"/>
    </row>
    <row r="386" spans="1:13" ht="90" x14ac:dyDescent="0.25">
      <c r="A386" s="492">
        <v>112</v>
      </c>
      <c r="B386" s="384" t="s">
        <v>202</v>
      </c>
      <c r="C386" s="418" t="s">
        <v>21</v>
      </c>
      <c r="D386" s="262" t="s">
        <v>651</v>
      </c>
      <c r="E386" s="412"/>
      <c r="F386" s="412"/>
      <c r="G386" s="413"/>
      <c r="H386" s="414"/>
      <c r="I386" s="412">
        <v>3000</v>
      </c>
      <c r="J386" s="412">
        <v>2970</v>
      </c>
      <c r="K386" s="413">
        <f t="shared" ref="K386:K449" si="44">J386/I386*100</f>
        <v>99</v>
      </c>
      <c r="L386" s="414">
        <v>100</v>
      </c>
      <c r="M386" s="398"/>
    </row>
    <row r="387" spans="1:13" s="155" customFormat="1" x14ac:dyDescent="0.25">
      <c r="A387" s="492"/>
      <c r="B387" s="387" t="s">
        <v>22</v>
      </c>
      <c r="C387" s="419"/>
      <c r="D387" s="388"/>
      <c r="E387" s="415"/>
      <c r="F387" s="415"/>
      <c r="G387" s="413"/>
      <c r="H387" s="417"/>
      <c r="I387" s="415">
        <f>'2018'!E297</f>
        <v>3000</v>
      </c>
      <c r="J387" s="415">
        <f>'2018'!F297</f>
        <v>2970</v>
      </c>
      <c r="K387" s="413">
        <f t="shared" si="44"/>
        <v>99</v>
      </c>
      <c r="L387" s="417"/>
      <c r="M387" s="429"/>
    </row>
    <row r="388" spans="1:13" s="155" customFormat="1" ht="60" x14ac:dyDescent="0.25">
      <c r="A388" s="492">
        <v>113</v>
      </c>
      <c r="B388" s="384" t="s">
        <v>191</v>
      </c>
      <c r="C388" s="418" t="s">
        <v>21</v>
      </c>
      <c r="D388" s="490" t="s">
        <v>589</v>
      </c>
      <c r="E388" s="415"/>
      <c r="F388" s="415"/>
      <c r="G388" s="413"/>
      <c r="H388" s="417"/>
      <c r="I388" s="412">
        <f>I389</f>
        <v>2000</v>
      </c>
      <c r="J388" s="412">
        <f>J389</f>
        <v>2000</v>
      </c>
      <c r="K388" s="413">
        <f t="shared" si="44"/>
        <v>100</v>
      </c>
      <c r="L388" s="414">
        <v>100</v>
      </c>
      <c r="M388" s="429"/>
    </row>
    <row r="389" spans="1:13" s="155" customFormat="1" x14ac:dyDescent="0.25">
      <c r="A389" s="492"/>
      <c r="B389" s="387" t="s">
        <v>22</v>
      </c>
      <c r="C389" s="419"/>
      <c r="D389" s="388"/>
      <c r="E389" s="415"/>
      <c r="F389" s="415"/>
      <c r="G389" s="413"/>
      <c r="H389" s="417"/>
      <c r="I389" s="415">
        <f>'2016'!E279</f>
        <v>2000</v>
      </c>
      <c r="J389" s="415">
        <f>'2016'!F279</f>
        <v>2000</v>
      </c>
      <c r="K389" s="416">
        <f t="shared" si="44"/>
        <v>100</v>
      </c>
      <c r="L389" s="417"/>
      <c r="M389" s="429"/>
    </row>
    <row r="390" spans="1:13" s="155" customFormat="1" ht="90" x14ac:dyDescent="0.25">
      <c r="A390" s="492">
        <v>114</v>
      </c>
      <c r="B390" s="384" t="s">
        <v>192</v>
      </c>
      <c r="C390" s="418" t="s">
        <v>21</v>
      </c>
      <c r="D390" s="490" t="s">
        <v>649</v>
      </c>
      <c r="E390" s="412">
        <f>E391</f>
        <v>13500</v>
      </c>
      <c r="F390" s="412">
        <f>F391</f>
        <v>13458.63</v>
      </c>
      <c r="G390" s="413">
        <f t="shared" ref="G390:G393" si="45">F390/E390*100</f>
        <v>99.693555555555548</v>
      </c>
      <c r="H390" s="414">
        <v>100</v>
      </c>
      <c r="I390" s="412">
        <f>I391</f>
        <v>33500</v>
      </c>
      <c r="J390" s="412">
        <f>J391</f>
        <v>33458.629999999997</v>
      </c>
      <c r="K390" s="413">
        <f t="shared" si="44"/>
        <v>99.876507462686561</v>
      </c>
      <c r="L390" s="414">
        <v>100</v>
      </c>
      <c r="M390" s="429"/>
    </row>
    <row r="391" spans="1:13" s="155" customFormat="1" x14ac:dyDescent="0.25">
      <c r="A391" s="492"/>
      <c r="B391" s="387" t="s">
        <v>22</v>
      </c>
      <c r="C391" s="419"/>
      <c r="D391" s="388"/>
      <c r="E391" s="415">
        <v>13500</v>
      </c>
      <c r="F391" s="415">
        <v>13458.63</v>
      </c>
      <c r="G391" s="416">
        <f t="shared" si="45"/>
        <v>99.693555555555548</v>
      </c>
      <c r="H391" s="417"/>
      <c r="I391" s="415">
        <f>E391+'2016'!E281</f>
        <v>33500</v>
      </c>
      <c r="J391" s="415">
        <f>F391+'2016'!F281</f>
        <v>33458.629999999997</v>
      </c>
      <c r="K391" s="416">
        <f t="shared" si="44"/>
        <v>99.876507462686561</v>
      </c>
      <c r="L391" s="417"/>
      <c r="M391" s="429"/>
    </row>
    <row r="392" spans="1:13" s="155" customFormat="1" ht="75" x14ac:dyDescent="0.25">
      <c r="A392" s="492">
        <v>115</v>
      </c>
      <c r="B392" s="384" t="s">
        <v>194</v>
      </c>
      <c r="C392" s="418" t="s">
        <v>21</v>
      </c>
      <c r="D392" s="490" t="s">
        <v>649</v>
      </c>
      <c r="E392" s="412">
        <f>E393</f>
        <v>3000</v>
      </c>
      <c r="F392" s="412">
        <f>F393</f>
        <v>3000</v>
      </c>
      <c r="G392" s="413">
        <f t="shared" si="45"/>
        <v>100</v>
      </c>
      <c r="H392" s="414">
        <v>100</v>
      </c>
      <c r="I392" s="412">
        <f>I393</f>
        <v>23000</v>
      </c>
      <c r="J392" s="412">
        <f>J393</f>
        <v>21360</v>
      </c>
      <c r="K392" s="413">
        <f t="shared" si="44"/>
        <v>92.869565217391298</v>
      </c>
      <c r="L392" s="414">
        <v>100</v>
      </c>
      <c r="M392" s="429"/>
    </row>
    <row r="393" spans="1:13" s="155" customFormat="1" x14ac:dyDescent="0.25">
      <c r="A393" s="492"/>
      <c r="B393" s="387" t="s">
        <v>22</v>
      </c>
      <c r="C393" s="419"/>
      <c r="D393" s="388"/>
      <c r="E393" s="415">
        <v>3000</v>
      </c>
      <c r="F393" s="415">
        <v>3000</v>
      </c>
      <c r="G393" s="416">
        <f t="shared" si="45"/>
        <v>100</v>
      </c>
      <c r="H393" s="417"/>
      <c r="I393" s="415">
        <f>E393+'2016'!E283</f>
        <v>23000</v>
      </c>
      <c r="J393" s="415">
        <f>F393+'2016'!F283</f>
        <v>21360</v>
      </c>
      <c r="K393" s="416">
        <f t="shared" si="44"/>
        <v>92.869565217391298</v>
      </c>
      <c r="L393" s="417"/>
      <c r="M393" s="429"/>
    </row>
    <row r="394" spans="1:13" s="155" customFormat="1" ht="45" x14ac:dyDescent="0.25">
      <c r="A394" s="492">
        <v>116</v>
      </c>
      <c r="B394" s="384" t="s">
        <v>195</v>
      </c>
      <c r="C394" s="418" t="s">
        <v>21</v>
      </c>
      <c r="D394" s="490" t="s">
        <v>589</v>
      </c>
      <c r="E394" s="415"/>
      <c r="F394" s="415"/>
      <c r="G394" s="413"/>
      <c r="H394" s="417"/>
      <c r="I394" s="412">
        <f>I395</f>
        <v>5000</v>
      </c>
      <c r="J394" s="412">
        <f>J395</f>
        <v>5000</v>
      </c>
      <c r="K394" s="413">
        <f t="shared" si="44"/>
        <v>100</v>
      </c>
      <c r="L394" s="414">
        <v>100</v>
      </c>
      <c r="M394" s="429"/>
    </row>
    <row r="395" spans="1:13" s="155" customFormat="1" x14ac:dyDescent="0.25">
      <c r="A395" s="492"/>
      <c r="B395" s="387" t="s">
        <v>22</v>
      </c>
      <c r="C395" s="419"/>
      <c r="D395" s="388"/>
      <c r="E395" s="415"/>
      <c r="F395" s="415"/>
      <c r="G395" s="413"/>
      <c r="H395" s="417"/>
      <c r="I395" s="415">
        <f>'2016'!E285</f>
        <v>5000</v>
      </c>
      <c r="J395" s="415">
        <f>'2016'!F285</f>
        <v>5000</v>
      </c>
      <c r="K395" s="416">
        <f t="shared" si="44"/>
        <v>100</v>
      </c>
      <c r="L395" s="417"/>
      <c r="M395" s="429"/>
    </row>
    <row r="396" spans="1:13" s="155" customFormat="1" ht="79.5" customHeight="1" x14ac:dyDescent="0.25">
      <c r="A396" s="492">
        <v>117</v>
      </c>
      <c r="B396" s="384" t="s">
        <v>203</v>
      </c>
      <c r="C396" s="418" t="s">
        <v>21</v>
      </c>
      <c r="D396" s="490" t="s">
        <v>589</v>
      </c>
      <c r="E396" s="415"/>
      <c r="F396" s="415"/>
      <c r="G396" s="413"/>
      <c r="H396" s="417"/>
      <c r="I396" s="412">
        <f>I397</f>
        <v>3000</v>
      </c>
      <c r="J396" s="412">
        <f>J397</f>
        <v>3000</v>
      </c>
      <c r="K396" s="413">
        <f t="shared" si="44"/>
        <v>100</v>
      </c>
      <c r="L396" s="414">
        <v>100</v>
      </c>
      <c r="M396" s="429"/>
    </row>
    <row r="397" spans="1:13" s="155" customFormat="1" x14ac:dyDescent="0.25">
      <c r="A397" s="492"/>
      <c r="B397" s="387" t="s">
        <v>22</v>
      </c>
      <c r="C397" s="419"/>
      <c r="D397" s="388"/>
      <c r="E397" s="415"/>
      <c r="F397" s="415"/>
      <c r="G397" s="413"/>
      <c r="H397" s="417"/>
      <c r="I397" s="415">
        <f>'2016'!E287</f>
        <v>3000</v>
      </c>
      <c r="J397" s="415">
        <f>'2016'!F287</f>
        <v>3000</v>
      </c>
      <c r="K397" s="416">
        <f t="shared" si="44"/>
        <v>100</v>
      </c>
      <c r="L397" s="417"/>
      <c r="M397" s="429"/>
    </row>
    <row r="398" spans="1:13" s="155" customFormat="1" ht="120" x14ac:dyDescent="0.25">
      <c r="A398" s="492">
        <v>118</v>
      </c>
      <c r="B398" s="384" t="s">
        <v>544</v>
      </c>
      <c r="C398" s="418" t="s">
        <v>21</v>
      </c>
      <c r="D398" s="490" t="s">
        <v>652</v>
      </c>
      <c r="E398" s="415"/>
      <c r="F398" s="415"/>
      <c r="G398" s="413"/>
      <c r="H398" s="417"/>
      <c r="I398" s="412">
        <f>I399</f>
        <v>130000</v>
      </c>
      <c r="J398" s="412">
        <f>J399</f>
        <v>119167.66</v>
      </c>
      <c r="K398" s="413">
        <f t="shared" si="44"/>
        <v>91.667430769230776</v>
      </c>
      <c r="L398" s="414">
        <v>100</v>
      </c>
      <c r="M398" s="429"/>
    </row>
    <row r="399" spans="1:13" s="155" customFormat="1" x14ac:dyDescent="0.25">
      <c r="A399" s="492"/>
      <c r="B399" s="387" t="s">
        <v>22</v>
      </c>
      <c r="C399" s="419"/>
      <c r="D399" s="388"/>
      <c r="E399" s="415"/>
      <c r="F399" s="415"/>
      <c r="G399" s="413"/>
      <c r="H399" s="417"/>
      <c r="I399" s="415">
        <f>'2017'!E286</f>
        <v>130000</v>
      </c>
      <c r="J399" s="415">
        <f>'2017'!F286</f>
        <v>119167.66</v>
      </c>
      <c r="K399" s="416">
        <f t="shared" si="44"/>
        <v>91.667430769230776</v>
      </c>
      <c r="L399" s="417"/>
      <c r="M399" s="429"/>
    </row>
    <row r="400" spans="1:13" s="155" customFormat="1" ht="75" x14ac:dyDescent="0.25">
      <c r="A400" s="492">
        <v>119</v>
      </c>
      <c r="B400" s="384" t="s">
        <v>187</v>
      </c>
      <c r="C400" s="418" t="s">
        <v>204</v>
      </c>
      <c r="D400" s="490" t="s">
        <v>653</v>
      </c>
      <c r="E400" s="412">
        <f>E401</f>
        <v>32000</v>
      </c>
      <c r="F400" s="412">
        <f>F401</f>
        <v>31800</v>
      </c>
      <c r="G400" s="413">
        <f t="shared" si="42"/>
        <v>99.375</v>
      </c>
      <c r="H400" s="414">
        <v>100</v>
      </c>
      <c r="I400" s="412">
        <f>I401</f>
        <v>46500</v>
      </c>
      <c r="J400" s="412">
        <f>J401</f>
        <v>31800</v>
      </c>
      <c r="K400" s="413">
        <f t="shared" si="44"/>
        <v>68.387096774193552</v>
      </c>
      <c r="L400" s="414">
        <v>80</v>
      </c>
      <c r="M400" s="384" t="s">
        <v>654</v>
      </c>
    </row>
    <row r="401" spans="1:13" s="155" customFormat="1" x14ac:dyDescent="0.25">
      <c r="A401" s="492"/>
      <c r="B401" s="387" t="s">
        <v>22</v>
      </c>
      <c r="C401" s="419"/>
      <c r="D401" s="388"/>
      <c r="E401" s="415">
        <v>32000</v>
      </c>
      <c r="F401" s="415">
        <v>31800</v>
      </c>
      <c r="G401" s="416">
        <f t="shared" si="42"/>
        <v>99.375</v>
      </c>
      <c r="H401" s="417"/>
      <c r="I401" s="415">
        <f>E401+'2016'!E290</f>
        <v>46500</v>
      </c>
      <c r="J401" s="415">
        <f>F401+'2016'!F290</f>
        <v>31800</v>
      </c>
      <c r="K401" s="416">
        <f t="shared" si="44"/>
        <v>68.387096774193552</v>
      </c>
      <c r="L401" s="417"/>
      <c r="M401" s="429"/>
    </row>
    <row r="402" spans="1:13" ht="90" x14ac:dyDescent="0.25">
      <c r="A402" s="492">
        <v>120</v>
      </c>
      <c r="B402" s="384" t="s">
        <v>188</v>
      </c>
      <c r="C402" s="418" t="s">
        <v>204</v>
      </c>
      <c r="D402" s="262" t="s">
        <v>293</v>
      </c>
      <c r="E402" s="412"/>
      <c r="F402" s="412"/>
      <c r="G402" s="413"/>
      <c r="H402" s="414"/>
      <c r="I402" s="412">
        <f>I403</f>
        <v>20000</v>
      </c>
      <c r="J402" s="412">
        <f>J403</f>
        <v>13980</v>
      </c>
      <c r="K402" s="413">
        <f t="shared" si="44"/>
        <v>69.899999999999991</v>
      </c>
      <c r="L402" s="414">
        <v>80</v>
      </c>
      <c r="M402" s="384" t="s">
        <v>654</v>
      </c>
    </row>
    <row r="403" spans="1:13" s="155" customFormat="1" x14ac:dyDescent="0.25">
      <c r="A403" s="492"/>
      <c r="B403" s="387" t="s">
        <v>22</v>
      </c>
      <c r="C403" s="419"/>
      <c r="D403" s="388"/>
      <c r="E403" s="415"/>
      <c r="F403" s="415"/>
      <c r="G403" s="416"/>
      <c r="H403" s="417"/>
      <c r="I403" s="415">
        <f>'2016'!E292+'2017'!E288+'2018'!E299</f>
        <v>20000</v>
      </c>
      <c r="J403" s="415">
        <f>'2016'!F292+'2017'!F288+'2018'!F299</f>
        <v>13980</v>
      </c>
      <c r="K403" s="416">
        <f t="shared" si="44"/>
        <v>69.899999999999991</v>
      </c>
      <c r="L403" s="417"/>
      <c r="M403" s="429"/>
    </row>
    <row r="404" spans="1:13" ht="60" x14ac:dyDescent="0.25">
      <c r="A404" s="492">
        <v>121</v>
      </c>
      <c r="B404" s="384" t="s">
        <v>205</v>
      </c>
      <c r="C404" s="418" t="s">
        <v>204</v>
      </c>
      <c r="D404" s="262" t="s">
        <v>57</v>
      </c>
      <c r="E404" s="412">
        <f>E405</f>
        <v>10000</v>
      </c>
      <c r="F404" s="412">
        <f>F405</f>
        <v>10000</v>
      </c>
      <c r="G404" s="413">
        <f t="shared" si="42"/>
        <v>100</v>
      </c>
      <c r="H404" s="414">
        <v>100</v>
      </c>
      <c r="I404" s="412">
        <f>I405</f>
        <v>40000</v>
      </c>
      <c r="J404" s="412">
        <f>J405</f>
        <v>29900</v>
      </c>
      <c r="K404" s="413">
        <f t="shared" si="44"/>
        <v>74.75</v>
      </c>
      <c r="L404" s="414">
        <v>80</v>
      </c>
      <c r="M404" s="384" t="s">
        <v>654</v>
      </c>
    </row>
    <row r="405" spans="1:13" s="155" customFormat="1" x14ac:dyDescent="0.25">
      <c r="A405" s="492"/>
      <c r="B405" s="387" t="s">
        <v>22</v>
      </c>
      <c r="C405" s="419"/>
      <c r="D405" s="388"/>
      <c r="E405" s="415">
        <v>10000</v>
      </c>
      <c r="F405" s="415">
        <v>10000</v>
      </c>
      <c r="G405" s="416">
        <f t="shared" si="42"/>
        <v>100</v>
      </c>
      <c r="H405" s="417"/>
      <c r="I405" s="415">
        <f>E405+'2016'!E294+'2017'!E290+'2018'!E301</f>
        <v>40000</v>
      </c>
      <c r="J405" s="415">
        <f>F405+'2016'!F294+'2017'!F290+'2018'!F301</f>
        <v>29900</v>
      </c>
      <c r="K405" s="416">
        <f t="shared" si="44"/>
        <v>74.75</v>
      </c>
      <c r="L405" s="417"/>
      <c r="M405" s="429"/>
    </row>
    <row r="406" spans="1:13" ht="81.75" customHeight="1" x14ac:dyDescent="0.25">
      <c r="A406" s="492">
        <v>122</v>
      </c>
      <c r="B406" s="384" t="s">
        <v>201</v>
      </c>
      <c r="C406" s="418" t="s">
        <v>204</v>
      </c>
      <c r="D406" s="262" t="s">
        <v>16</v>
      </c>
      <c r="E406" s="412">
        <f>E407</f>
        <v>10000</v>
      </c>
      <c r="F406" s="412">
        <f>F407</f>
        <v>9963.2000000000007</v>
      </c>
      <c r="G406" s="413">
        <f t="shared" si="42"/>
        <v>99.632000000000005</v>
      </c>
      <c r="H406" s="414">
        <v>100</v>
      </c>
      <c r="I406" s="412">
        <f>I407</f>
        <v>33000</v>
      </c>
      <c r="J406" s="412">
        <f>J407</f>
        <v>32560.89</v>
      </c>
      <c r="K406" s="413">
        <f t="shared" si="44"/>
        <v>98.669363636363641</v>
      </c>
      <c r="L406" s="414">
        <v>100</v>
      </c>
      <c r="M406" s="398"/>
    </row>
    <row r="407" spans="1:13" s="155" customFormat="1" x14ac:dyDescent="0.25">
      <c r="A407" s="492"/>
      <c r="B407" s="387" t="s">
        <v>22</v>
      </c>
      <c r="C407" s="419"/>
      <c r="D407" s="388"/>
      <c r="E407" s="415">
        <v>10000</v>
      </c>
      <c r="F407" s="415">
        <v>9963.2000000000007</v>
      </c>
      <c r="G407" s="416">
        <f t="shared" si="42"/>
        <v>99.632000000000005</v>
      </c>
      <c r="H407" s="417"/>
      <c r="I407" s="415">
        <f>E407+'2016'!E296+'2017'!E292+'2018'!E303</f>
        <v>33000</v>
      </c>
      <c r="J407" s="415">
        <f>F407+'2016'!F296+'2017'!F292+'2018'!F303</f>
        <v>32560.89</v>
      </c>
      <c r="K407" s="416">
        <f t="shared" si="44"/>
        <v>98.669363636363641</v>
      </c>
      <c r="L407" s="417"/>
      <c r="M407" s="429"/>
    </row>
    <row r="408" spans="1:13" ht="105" x14ac:dyDescent="0.25">
      <c r="A408" s="492">
        <v>123</v>
      </c>
      <c r="B408" s="384" t="s">
        <v>200</v>
      </c>
      <c r="C408" s="418" t="s">
        <v>204</v>
      </c>
      <c r="D408" s="262" t="s">
        <v>16</v>
      </c>
      <c r="E408" s="412">
        <f>E409</f>
        <v>5000</v>
      </c>
      <c r="F408" s="412">
        <f>F409</f>
        <v>5000</v>
      </c>
      <c r="G408" s="413">
        <f t="shared" si="42"/>
        <v>100</v>
      </c>
      <c r="H408" s="414">
        <v>100</v>
      </c>
      <c r="I408" s="412">
        <f>I409</f>
        <v>35000</v>
      </c>
      <c r="J408" s="412">
        <f>J409</f>
        <v>14918.029999999999</v>
      </c>
      <c r="K408" s="413">
        <f t="shared" si="44"/>
        <v>42.622942857142853</v>
      </c>
      <c r="L408" s="414">
        <v>80</v>
      </c>
      <c r="M408" s="384" t="s">
        <v>654</v>
      </c>
    </row>
    <row r="409" spans="1:13" s="155" customFormat="1" x14ac:dyDescent="0.25">
      <c r="A409" s="492"/>
      <c r="B409" s="387" t="s">
        <v>22</v>
      </c>
      <c r="C409" s="419"/>
      <c r="D409" s="388"/>
      <c r="E409" s="415">
        <v>5000</v>
      </c>
      <c r="F409" s="415">
        <v>5000</v>
      </c>
      <c r="G409" s="416">
        <f t="shared" si="42"/>
        <v>100</v>
      </c>
      <c r="H409" s="417"/>
      <c r="I409" s="415">
        <f>E409+'2016'!E298+'2017'!E294+'2018'!E305</f>
        <v>35000</v>
      </c>
      <c r="J409" s="415">
        <f>F409+'2016'!F298+'2017'!F294+'2018'!F305</f>
        <v>14918.029999999999</v>
      </c>
      <c r="K409" s="416">
        <f t="shared" si="44"/>
        <v>42.622942857142853</v>
      </c>
      <c r="L409" s="417"/>
      <c r="M409" s="429"/>
    </row>
    <row r="410" spans="1:13" s="155" customFormat="1" ht="60" x14ac:dyDescent="0.25">
      <c r="A410" s="492">
        <v>124</v>
      </c>
      <c r="B410" s="384" t="s">
        <v>294</v>
      </c>
      <c r="C410" s="418" t="s">
        <v>204</v>
      </c>
      <c r="D410" s="262" t="s">
        <v>280</v>
      </c>
      <c r="E410" s="412">
        <f>E411</f>
        <v>2000</v>
      </c>
      <c r="F410" s="412">
        <f>F411</f>
        <v>2000</v>
      </c>
      <c r="G410" s="413">
        <f t="shared" si="42"/>
        <v>100</v>
      </c>
      <c r="H410" s="414">
        <v>100</v>
      </c>
      <c r="I410" s="412">
        <f>I411</f>
        <v>6000</v>
      </c>
      <c r="J410" s="412">
        <f>J411</f>
        <v>6000</v>
      </c>
      <c r="K410" s="413">
        <f t="shared" si="44"/>
        <v>100</v>
      </c>
      <c r="L410" s="414">
        <v>100</v>
      </c>
      <c r="M410" s="429"/>
    </row>
    <row r="411" spans="1:13" s="155" customFormat="1" x14ac:dyDescent="0.25">
      <c r="A411" s="492"/>
      <c r="B411" s="387" t="s">
        <v>22</v>
      </c>
      <c r="C411" s="419"/>
      <c r="D411" s="388"/>
      <c r="E411" s="415">
        <v>2000</v>
      </c>
      <c r="F411" s="415">
        <v>2000</v>
      </c>
      <c r="G411" s="416">
        <f t="shared" si="42"/>
        <v>100</v>
      </c>
      <c r="H411" s="417"/>
      <c r="I411" s="415">
        <f>E411+'2017'!E296+'2018'!E307</f>
        <v>6000</v>
      </c>
      <c r="J411" s="415">
        <f>F411+'2017'!F296+'2018'!F307</f>
        <v>6000</v>
      </c>
      <c r="K411" s="416">
        <f t="shared" si="44"/>
        <v>100</v>
      </c>
      <c r="L411" s="417"/>
      <c r="M411" s="429"/>
    </row>
    <row r="412" spans="1:13" s="155" customFormat="1" ht="90" x14ac:dyDescent="0.25">
      <c r="A412" s="492">
        <v>125</v>
      </c>
      <c r="B412" s="384" t="s">
        <v>192</v>
      </c>
      <c r="C412" s="418" t="s">
        <v>204</v>
      </c>
      <c r="D412" s="490" t="s">
        <v>45</v>
      </c>
      <c r="E412" s="415"/>
      <c r="F412" s="415"/>
      <c r="G412" s="416"/>
      <c r="H412" s="417"/>
      <c r="I412" s="412">
        <f>I413</f>
        <v>40000</v>
      </c>
      <c r="J412" s="412">
        <f>J413</f>
        <v>32489.690000000002</v>
      </c>
      <c r="K412" s="413">
        <f t="shared" si="44"/>
        <v>81.224225000000004</v>
      </c>
      <c r="L412" s="414">
        <v>100</v>
      </c>
      <c r="M412" s="429"/>
    </row>
    <row r="413" spans="1:13" s="155" customFormat="1" x14ac:dyDescent="0.25">
      <c r="A413" s="492"/>
      <c r="B413" s="387" t="s">
        <v>22</v>
      </c>
      <c r="C413" s="419"/>
      <c r="D413" s="388"/>
      <c r="E413" s="415"/>
      <c r="F413" s="415"/>
      <c r="G413" s="416"/>
      <c r="H413" s="417"/>
      <c r="I413" s="415">
        <f>'2016'!E300+'2017'!E298</f>
        <v>40000</v>
      </c>
      <c r="J413" s="415">
        <f>'2016'!F300+'2017'!F298</f>
        <v>32489.690000000002</v>
      </c>
      <c r="K413" s="416">
        <f t="shared" si="44"/>
        <v>81.224225000000004</v>
      </c>
      <c r="L413" s="417"/>
      <c r="M413" s="429"/>
    </row>
    <row r="414" spans="1:13" s="155" customFormat="1" ht="75" x14ac:dyDescent="0.25">
      <c r="A414" s="492">
        <v>126</v>
      </c>
      <c r="B414" s="384" t="s">
        <v>403</v>
      </c>
      <c r="C414" s="418" t="s">
        <v>204</v>
      </c>
      <c r="D414" s="490">
        <v>2016</v>
      </c>
      <c r="E414" s="415"/>
      <c r="F414" s="415"/>
      <c r="G414" s="416"/>
      <c r="H414" s="417"/>
      <c r="I414" s="412">
        <f>I415</f>
        <v>15000</v>
      </c>
      <c r="J414" s="412">
        <f>J415</f>
        <v>85795.25</v>
      </c>
      <c r="K414" s="413">
        <f t="shared" si="44"/>
        <v>571.96833333333336</v>
      </c>
      <c r="L414" s="414">
        <v>100</v>
      </c>
      <c r="M414" s="429"/>
    </row>
    <row r="415" spans="1:13" s="155" customFormat="1" ht="19.5" customHeight="1" x14ac:dyDescent="0.25">
      <c r="A415" s="492"/>
      <c r="B415" s="387" t="s">
        <v>139</v>
      </c>
      <c r="C415" s="419"/>
      <c r="D415" s="388"/>
      <c r="E415" s="415"/>
      <c r="F415" s="415"/>
      <c r="G415" s="416"/>
      <c r="H415" s="417"/>
      <c r="I415" s="415">
        <f>'2016'!E302</f>
        <v>15000</v>
      </c>
      <c r="J415" s="415">
        <f>'2016'!F302</f>
        <v>85795.25</v>
      </c>
      <c r="K415" s="416">
        <f t="shared" si="44"/>
        <v>571.96833333333336</v>
      </c>
      <c r="L415" s="417"/>
      <c r="M415" s="429"/>
    </row>
    <row r="416" spans="1:13" ht="75" x14ac:dyDescent="0.25">
      <c r="A416" s="492">
        <v>127</v>
      </c>
      <c r="B416" s="384" t="s">
        <v>194</v>
      </c>
      <c r="C416" s="418" t="s">
        <v>204</v>
      </c>
      <c r="D416" s="262" t="s">
        <v>16</v>
      </c>
      <c r="E416" s="412">
        <f>E417</f>
        <v>10000</v>
      </c>
      <c r="F416" s="412">
        <f>F417</f>
        <v>6917.02</v>
      </c>
      <c r="G416" s="413">
        <f t="shared" si="42"/>
        <v>69.170200000000008</v>
      </c>
      <c r="H416" s="414">
        <v>100</v>
      </c>
      <c r="I416" s="412">
        <f>I417</f>
        <v>70000</v>
      </c>
      <c r="J416" s="412">
        <f>J417</f>
        <v>39061.82</v>
      </c>
      <c r="K416" s="413">
        <f t="shared" si="44"/>
        <v>55.802600000000005</v>
      </c>
      <c r="L416" s="414">
        <v>100</v>
      </c>
      <c r="M416" s="384"/>
    </row>
    <row r="417" spans="1:13" s="155" customFormat="1" x14ac:dyDescent="0.25">
      <c r="A417" s="492"/>
      <c r="B417" s="387" t="s">
        <v>22</v>
      </c>
      <c r="C417" s="419"/>
      <c r="D417" s="388"/>
      <c r="E417" s="415">
        <v>10000</v>
      </c>
      <c r="F417" s="415">
        <v>6917.02</v>
      </c>
      <c r="G417" s="416">
        <f t="shared" si="42"/>
        <v>69.170200000000008</v>
      </c>
      <c r="H417" s="417"/>
      <c r="I417" s="415">
        <f>E417+'2016'!E304+'2017'!E300+'2018'!E309</f>
        <v>70000</v>
      </c>
      <c r="J417" s="415">
        <f>F417+'2016'!F304+'2017'!F300+'2018'!F309</f>
        <v>39061.82</v>
      </c>
      <c r="K417" s="416">
        <f t="shared" si="44"/>
        <v>55.802600000000005</v>
      </c>
      <c r="L417" s="417"/>
      <c r="M417" s="429"/>
    </row>
    <row r="418" spans="1:13" ht="75" x14ac:dyDescent="0.25">
      <c r="A418" s="492">
        <v>128</v>
      </c>
      <c r="B418" s="384" t="s">
        <v>203</v>
      </c>
      <c r="C418" s="418" t="s">
        <v>204</v>
      </c>
      <c r="D418" s="262" t="s">
        <v>175</v>
      </c>
      <c r="E418" s="412"/>
      <c r="F418" s="412"/>
      <c r="G418" s="413"/>
      <c r="H418" s="414"/>
      <c r="I418" s="412">
        <f>I419</f>
        <v>7000</v>
      </c>
      <c r="J418" s="412">
        <f>J419</f>
        <v>6996.2</v>
      </c>
      <c r="K418" s="413">
        <f t="shared" si="44"/>
        <v>99.945714285714288</v>
      </c>
      <c r="L418" s="414">
        <v>100</v>
      </c>
      <c r="M418" s="398"/>
    </row>
    <row r="419" spans="1:13" s="155" customFormat="1" x14ac:dyDescent="0.25">
      <c r="A419" s="492"/>
      <c r="B419" s="387" t="s">
        <v>22</v>
      </c>
      <c r="C419" s="419"/>
      <c r="D419" s="388"/>
      <c r="E419" s="415"/>
      <c r="F419" s="415"/>
      <c r="G419" s="416"/>
      <c r="H419" s="417"/>
      <c r="I419" s="415">
        <f>'2016'!E306+'2017'!E302+'2018'!E311</f>
        <v>7000</v>
      </c>
      <c r="J419" s="415">
        <f>'2016'!F306+'2017'!F302+'2018'!F311</f>
        <v>6996.2</v>
      </c>
      <c r="K419" s="416">
        <f t="shared" si="44"/>
        <v>99.945714285714288</v>
      </c>
      <c r="L419" s="417"/>
      <c r="M419" s="429"/>
    </row>
    <row r="420" spans="1:13" ht="75" x14ac:dyDescent="0.25">
      <c r="A420" s="492">
        <v>129</v>
      </c>
      <c r="B420" s="384" t="s">
        <v>187</v>
      </c>
      <c r="C420" s="418" t="s">
        <v>206</v>
      </c>
      <c r="D420" s="262" t="s">
        <v>16</v>
      </c>
      <c r="E420" s="412">
        <f>E421</f>
        <v>6500</v>
      </c>
      <c r="F420" s="412">
        <f>F421</f>
        <v>6500</v>
      </c>
      <c r="G420" s="413">
        <f t="shared" si="42"/>
        <v>100</v>
      </c>
      <c r="H420" s="414">
        <v>100</v>
      </c>
      <c r="I420" s="412">
        <f>I421</f>
        <v>50500</v>
      </c>
      <c r="J420" s="412">
        <f>J421</f>
        <v>38630</v>
      </c>
      <c r="K420" s="413">
        <f t="shared" si="44"/>
        <v>76.495049504950501</v>
      </c>
      <c r="L420" s="414">
        <v>100</v>
      </c>
      <c r="M420" s="384"/>
    </row>
    <row r="421" spans="1:13" s="155" customFormat="1" x14ac:dyDescent="0.25">
      <c r="A421" s="492"/>
      <c r="B421" s="387" t="s">
        <v>22</v>
      </c>
      <c r="C421" s="419"/>
      <c r="D421" s="388"/>
      <c r="E421" s="415">
        <v>6500</v>
      </c>
      <c r="F421" s="415">
        <v>6500</v>
      </c>
      <c r="G421" s="416">
        <f t="shared" si="42"/>
        <v>100</v>
      </c>
      <c r="H421" s="417"/>
      <c r="I421" s="415">
        <f>E421+'2016'!E308+'2017'!E304+'2018'!E313</f>
        <v>50500</v>
      </c>
      <c r="J421" s="415">
        <f>F421+'2016'!F308+'2017'!F304+'2018'!F313</f>
        <v>38630</v>
      </c>
      <c r="K421" s="416">
        <f t="shared" si="44"/>
        <v>76.495049504950501</v>
      </c>
      <c r="L421" s="417"/>
      <c r="M421" s="429"/>
    </row>
    <row r="422" spans="1:13" ht="90" x14ac:dyDescent="0.25">
      <c r="A422" s="492">
        <v>130</v>
      </c>
      <c r="B422" s="384" t="s">
        <v>188</v>
      </c>
      <c r="C422" s="514" t="s">
        <v>206</v>
      </c>
      <c r="D422" s="495" t="s">
        <v>177</v>
      </c>
      <c r="E422" s="515"/>
      <c r="F422" s="515"/>
      <c r="G422" s="516"/>
      <c r="H422" s="517"/>
      <c r="I422" s="515">
        <f>I423</f>
        <v>20000</v>
      </c>
      <c r="J422" s="515">
        <f>J423</f>
        <v>14780</v>
      </c>
      <c r="K422" s="516">
        <f t="shared" si="44"/>
        <v>73.900000000000006</v>
      </c>
      <c r="L422" s="414">
        <v>100</v>
      </c>
      <c r="M422" s="384"/>
    </row>
    <row r="423" spans="1:13" s="155" customFormat="1" x14ac:dyDescent="0.25">
      <c r="A423" s="492"/>
      <c r="B423" s="387" t="s">
        <v>22</v>
      </c>
      <c r="C423" s="419"/>
      <c r="D423" s="388"/>
      <c r="E423" s="415"/>
      <c r="F423" s="415"/>
      <c r="G423" s="416"/>
      <c r="H423" s="417"/>
      <c r="I423" s="415">
        <f>'2016'!E310+'2017'!E306+'2018'!E315</f>
        <v>20000</v>
      </c>
      <c r="J423" s="415">
        <f>'2016'!F310+'2017'!F306+'2018'!F315</f>
        <v>14780</v>
      </c>
      <c r="K423" s="416">
        <f t="shared" si="44"/>
        <v>73.900000000000006</v>
      </c>
      <c r="L423" s="417"/>
      <c r="M423" s="429"/>
    </row>
    <row r="424" spans="1:13" s="155" customFormat="1" ht="45" x14ac:dyDescent="0.25">
      <c r="A424" s="492">
        <v>131</v>
      </c>
      <c r="B424" s="384" t="s">
        <v>481</v>
      </c>
      <c r="C424" s="418" t="s">
        <v>206</v>
      </c>
      <c r="D424" s="262">
        <v>2018</v>
      </c>
      <c r="E424" s="412"/>
      <c r="F424" s="412"/>
      <c r="G424" s="413"/>
      <c r="H424" s="414"/>
      <c r="I424" s="412">
        <f>I425</f>
        <v>5000</v>
      </c>
      <c r="J424" s="412">
        <f>J425</f>
        <v>4900</v>
      </c>
      <c r="K424" s="413">
        <f t="shared" si="44"/>
        <v>98</v>
      </c>
      <c r="L424" s="414">
        <v>100</v>
      </c>
      <c r="M424" s="429"/>
    </row>
    <row r="425" spans="1:13" s="155" customFormat="1" x14ac:dyDescent="0.25">
      <c r="A425" s="492"/>
      <c r="B425" s="387" t="s">
        <v>22</v>
      </c>
      <c r="C425" s="419"/>
      <c r="D425" s="388"/>
      <c r="E425" s="415"/>
      <c r="F425" s="415"/>
      <c r="G425" s="416"/>
      <c r="H425" s="417"/>
      <c r="I425" s="415">
        <f>'2018'!E317</f>
        <v>5000</v>
      </c>
      <c r="J425" s="415">
        <f>'2018'!F317</f>
        <v>4900</v>
      </c>
      <c r="K425" s="416">
        <f t="shared" si="44"/>
        <v>98</v>
      </c>
      <c r="L425" s="417"/>
      <c r="M425" s="429"/>
    </row>
    <row r="426" spans="1:13" ht="77.25" customHeight="1" x14ac:dyDescent="0.25">
      <c r="A426" s="492">
        <v>132</v>
      </c>
      <c r="B426" s="384" t="s">
        <v>201</v>
      </c>
      <c r="C426" s="418" t="s">
        <v>206</v>
      </c>
      <c r="D426" s="262" t="s">
        <v>16</v>
      </c>
      <c r="E426" s="412">
        <f>E427</f>
        <v>10000</v>
      </c>
      <c r="F426" s="412">
        <f>F427</f>
        <v>9844.89</v>
      </c>
      <c r="G426" s="413">
        <f t="shared" si="42"/>
        <v>98.448899999999995</v>
      </c>
      <c r="H426" s="414">
        <v>100</v>
      </c>
      <c r="I426" s="412">
        <f>I427</f>
        <v>40000</v>
      </c>
      <c r="J426" s="412">
        <f>J427</f>
        <v>29844.89</v>
      </c>
      <c r="K426" s="413">
        <f t="shared" si="44"/>
        <v>74.612224999999995</v>
      </c>
      <c r="L426" s="414">
        <v>100</v>
      </c>
      <c r="M426" s="384"/>
    </row>
    <row r="427" spans="1:13" s="155" customFormat="1" x14ac:dyDescent="0.25">
      <c r="A427" s="492"/>
      <c r="B427" s="387" t="s">
        <v>22</v>
      </c>
      <c r="C427" s="419"/>
      <c r="D427" s="388"/>
      <c r="E427" s="415">
        <v>10000</v>
      </c>
      <c r="F427" s="415">
        <v>9844.89</v>
      </c>
      <c r="G427" s="416">
        <f t="shared" si="42"/>
        <v>98.448899999999995</v>
      </c>
      <c r="H427" s="417"/>
      <c r="I427" s="415">
        <f>E427+'2016'!E312+'2017'!E308+'2018'!E319</f>
        <v>40000</v>
      </c>
      <c r="J427" s="415">
        <f>F427+'2016'!F312+'2017'!F308+'2018'!F319</f>
        <v>29844.89</v>
      </c>
      <c r="K427" s="416">
        <f t="shared" si="44"/>
        <v>74.612224999999995</v>
      </c>
      <c r="L427" s="417"/>
      <c r="M427" s="429"/>
    </row>
    <row r="428" spans="1:13" s="155" customFormat="1" ht="30" x14ac:dyDescent="0.25">
      <c r="A428" s="492">
        <v>133</v>
      </c>
      <c r="B428" s="384" t="s">
        <v>661</v>
      </c>
      <c r="C428" s="418" t="s">
        <v>206</v>
      </c>
      <c r="D428" s="490">
        <v>2016</v>
      </c>
      <c r="E428" s="415"/>
      <c r="F428" s="415"/>
      <c r="G428" s="416"/>
      <c r="H428" s="417"/>
      <c r="I428" s="415"/>
      <c r="J428" s="415"/>
      <c r="K428" s="416"/>
      <c r="L428" s="414">
        <v>100</v>
      </c>
      <c r="M428" s="429"/>
    </row>
    <row r="429" spans="1:13" ht="105" x14ac:dyDescent="0.25">
      <c r="A429" s="492">
        <v>134</v>
      </c>
      <c r="B429" s="384" t="s">
        <v>200</v>
      </c>
      <c r="C429" s="418" t="s">
        <v>206</v>
      </c>
      <c r="D429" s="262" t="s">
        <v>16</v>
      </c>
      <c r="E429" s="515">
        <f>E430</f>
        <v>5000</v>
      </c>
      <c r="F429" s="515">
        <f>F430</f>
        <v>0</v>
      </c>
      <c r="G429" s="516">
        <f t="shared" si="42"/>
        <v>0</v>
      </c>
      <c r="H429" s="517"/>
      <c r="I429" s="515">
        <f>I430</f>
        <v>26000</v>
      </c>
      <c r="J429" s="515">
        <f>J430</f>
        <v>15299.25</v>
      </c>
      <c r="K429" s="413">
        <f t="shared" si="44"/>
        <v>58.843269230769238</v>
      </c>
      <c r="L429" s="414">
        <v>100</v>
      </c>
      <c r="M429" s="384" t="s">
        <v>688</v>
      </c>
    </row>
    <row r="430" spans="1:13" s="155" customFormat="1" x14ac:dyDescent="0.25">
      <c r="A430" s="492"/>
      <c r="B430" s="387" t="s">
        <v>22</v>
      </c>
      <c r="C430" s="419"/>
      <c r="D430" s="388"/>
      <c r="E430" s="415">
        <v>5000</v>
      </c>
      <c r="F430" s="415">
        <v>0</v>
      </c>
      <c r="G430" s="416">
        <f t="shared" si="42"/>
        <v>0</v>
      </c>
      <c r="H430" s="417"/>
      <c r="I430" s="415">
        <f>E430+'2016'!E315+'2017'!E310+'2018'!E321</f>
        <v>26000</v>
      </c>
      <c r="J430" s="415">
        <f>F430+'2016'!F315+'2017'!F310+'2018'!F321</f>
        <v>15299.25</v>
      </c>
      <c r="K430" s="416">
        <f t="shared" si="44"/>
        <v>58.843269230769238</v>
      </c>
      <c r="L430" s="417"/>
      <c r="M430" s="429"/>
    </row>
    <row r="431" spans="1:13" s="155" customFormat="1" ht="60" x14ac:dyDescent="0.25">
      <c r="A431" s="492">
        <v>135</v>
      </c>
      <c r="B431" s="384" t="s">
        <v>548</v>
      </c>
      <c r="C431" s="418" t="s">
        <v>206</v>
      </c>
      <c r="D431" s="490" t="s">
        <v>415</v>
      </c>
      <c r="E431" s="415"/>
      <c r="F431" s="415"/>
      <c r="G431" s="416"/>
      <c r="H431" s="417"/>
      <c r="I431" s="412">
        <f>I432</f>
        <v>5000</v>
      </c>
      <c r="J431" s="412">
        <f>J432</f>
        <v>3000</v>
      </c>
      <c r="K431" s="413">
        <f t="shared" si="44"/>
        <v>60</v>
      </c>
      <c r="L431" s="414">
        <v>100</v>
      </c>
      <c r="M431" s="429"/>
    </row>
    <row r="432" spans="1:13" s="155" customFormat="1" x14ac:dyDescent="0.25">
      <c r="A432" s="492"/>
      <c r="B432" s="387" t="s">
        <v>22</v>
      </c>
      <c r="C432" s="419"/>
      <c r="D432" s="388"/>
      <c r="E432" s="415"/>
      <c r="F432" s="415"/>
      <c r="G432" s="416"/>
      <c r="H432" s="417"/>
      <c r="I432" s="415">
        <f>'2016'!E317+'2017'!E312</f>
        <v>5000</v>
      </c>
      <c r="J432" s="415">
        <f>'2016'!F317+'2017'!F312</f>
        <v>3000</v>
      </c>
      <c r="K432" s="416">
        <f t="shared" si="44"/>
        <v>60</v>
      </c>
      <c r="L432" s="417"/>
      <c r="M432" s="429"/>
    </row>
    <row r="433" spans="1:13" s="155" customFormat="1" ht="90" x14ac:dyDescent="0.25">
      <c r="A433" s="492">
        <v>136</v>
      </c>
      <c r="B433" s="384" t="s">
        <v>484</v>
      </c>
      <c r="C433" s="418" t="s">
        <v>206</v>
      </c>
      <c r="D433" s="262" t="s">
        <v>290</v>
      </c>
      <c r="E433" s="412"/>
      <c r="F433" s="412"/>
      <c r="G433" s="413"/>
      <c r="H433" s="414"/>
      <c r="I433" s="412">
        <f>I434</f>
        <v>50000</v>
      </c>
      <c r="J433" s="412">
        <f>J434</f>
        <v>48460.36</v>
      </c>
      <c r="K433" s="413">
        <f t="shared" si="44"/>
        <v>96.920720000000003</v>
      </c>
      <c r="L433" s="414">
        <v>100</v>
      </c>
      <c r="M433" s="429"/>
    </row>
    <row r="434" spans="1:13" s="155" customFormat="1" x14ac:dyDescent="0.25">
      <c r="A434" s="492"/>
      <c r="B434" s="387" t="s">
        <v>22</v>
      </c>
      <c r="C434" s="419"/>
      <c r="D434" s="388"/>
      <c r="E434" s="415"/>
      <c r="F434" s="415"/>
      <c r="G434" s="416"/>
      <c r="H434" s="417"/>
      <c r="I434" s="415">
        <f>'2017'!E314+'2018'!E323</f>
        <v>50000</v>
      </c>
      <c r="J434" s="415">
        <f>'2017'!F314+'2018'!F323</f>
        <v>48460.36</v>
      </c>
      <c r="K434" s="416">
        <f t="shared" si="44"/>
        <v>96.920720000000003</v>
      </c>
      <c r="L434" s="417"/>
      <c r="M434" s="429"/>
    </row>
    <row r="435" spans="1:13" s="155" customFormat="1" ht="75" x14ac:dyDescent="0.25">
      <c r="A435" s="492">
        <v>137</v>
      </c>
      <c r="B435" s="384" t="s">
        <v>662</v>
      </c>
      <c r="C435" s="418" t="s">
        <v>206</v>
      </c>
      <c r="D435" s="490" t="s">
        <v>652</v>
      </c>
      <c r="E435" s="415"/>
      <c r="F435" s="415"/>
      <c r="G435" s="416"/>
      <c r="H435" s="417"/>
      <c r="I435" s="412">
        <f>I436</f>
        <v>15000</v>
      </c>
      <c r="J435" s="412">
        <f>J436</f>
        <v>15000</v>
      </c>
      <c r="K435" s="413">
        <f t="shared" si="44"/>
        <v>100</v>
      </c>
      <c r="L435" s="414">
        <v>100</v>
      </c>
      <c r="M435" s="429"/>
    </row>
    <row r="436" spans="1:13" s="155" customFormat="1" x14ac:dyDescent="0.25">
      <c r="A436" s="492"/>
      <c r="B436" s="387" t="s">
        <v>22</v>
      </c>
      <c r="C436" s="419"/>
      <c r="D436" s="388"/>
      <c r="E436" s="415"/>
      <c r="F436" s="415"/>
      <c r="G436" s="416"/>
      <c r="H436" s="417"/>
      <c r="I436" s="415">
        <f>'2017'!E316</f>
        <v>15000</v>
      </c>
      <c r="J436" s="415">
        <f>'2017'!F316</f>
        <v>15000</v>
      </c>
      <c r="K436" s="416">
        <f t="shared" si="44"/>
        <v>100</v>
      </c>
      <c r="L436" s="417"/>
      <c r="M436" s="429"/>
    </row>
    <row r="437" spans="1:13" ht="75" x14ac:dyDescent="0.25">
      <c r="A437" s="492">
        <v>138</v>
      </c>
      <c r="B437" s="384" t="s">
        <v>203</v>
      </c>
      <c r="C437" s="418" t="s">
        <v>206</v>
      </c>
      <c r="D437" s="262" t="s">
        <v>400</v>
      </c>
      <c r="E437" s="412"/>
      <c r="F437" s="412"/>
      <c r="G437" s="413"/>
      <c r="H437" s="414">
        <v>100</v>
      </c>
      <c r="I437" s="412">
        <f>I438</f>
        <v>9500</v>
      </c>
      <c r="J437" s="412">
        <f>J438</f>
        <v>2492.4</v>
      </c>
      <c r="K437" s="413">
        <f t="shared" si="44"/>
        <v>26.235789473684214</v>
      </c>
      <c r="L437" s="414">
        <v>100</v>
      </c>
      <c r="M437" s="384"/>
    </row>
    <row r="438" spans="1:13" s="155" customFormat="1" x14ac:dyDescent="0.25">
      <c r="A438" s="492"/>
      <c r="B438" s="387" t="s">
        <v>22</v>
      </c>
      <c r="C438" s="419"/>
      <c r="D438" s="388"/>
      <c r="E438" s="415"/>
      <c r="F438" s="415"/>
      <c r="G438" s="416"/>
      <c r="H438" s="417"/>
      <c r="I438" s="415">
        <f>'2016'!E319+'2018'!E325</f>
        <v>9500</v>
      </c>
      <c r="J438" s="415">
        <f>'2016'!F319+'2018'!F325</f>
        <v>2492.4</v>
      </c>
      <c r="K438" s="416">
        <f t="shared" si="44"/>
        <v>26.235789473684214</v>
      </c>
      <c r="L438" s="417"/>
      <c r="M438" s="429"/>
    </row>
    <row r="439" spans="1:13" s="155" customFormat="1" ht="75" x14ac:dyDescent="0.25">
      <c r="A439" s="492">
        <v>139</v>
      </c>
      <c r="B439" s="384" t="s">
        <v>187</v>
      </c>
      <c r="C439" s="418" t="s">
        <v>208</v>
      </c>
      <c r="D439" s="262" t="s">
        <v>485</v>
      </c>
      <c r="E439" s="412">
        <f>E440</f>
        <v>15500</v>
      </c>
      <c r="F439" s="412">
        <f>F440</f>
        <v>15170</v>
      </c>
      <c r="G439" s="413">
        <f t="shared" si="42"/>
        <v>97.870967741935488</v>
      </c>
      <c r="H439" s="414">
        <v>100</v>
      </c>
      <c r="I439" s="412">
        <f>I440</f>
        <v>52471</v>
      </c>
      <c r="J439" s="412">
        <f>J440</f>
        <v>50741</v>
      </c>
      <c r="K439" s="413">
        <f t="shared" si="44"/>
        <v>96.702940671990248</v>
      </c>
      <c r="L439" s="414">
        <v>100</v>
      </c>
      <c r="M439" s="429"/>
    </row>
    <row r="440" spans="1:13" s="155" customFormat="1" x14ac:dyDescent="0.25">
      <c r="A440" s="492"/>
      <c r="B440" s="387" t="s">
        <v>22</v>
      </c>
      <c r="C440" s="419"/>
      <c r="D440" s="388"/>
      <c r="E440" s="415">
        <v>15500</v>
      </c>
      <c r="F440" s="415">
        <v>15170</v>
      </c>
      <c r="G440" s="416">
        <f t="shared" si="42"/>
        <v>97.870967741935488</v>
      </c>
      <c r="H440" s="417"/>
      <c r="I440" s="415">
        <f>E440+'2016'!E321+'2018'!E327</f>
        <v>52471</v>
      </c>
      <c r="J440" s="415">
        <f>F440+'2016'!F321+'2018'!F327</f>
        <v>50741</v>
      </c>
      <c r="K440" s="416">
        <f t="shared" si="44"/>
        <v>96.702940671990248</v>
      </c>
      <c r="L440" s="417"/>
      <c r="M440" s="429"/>
    </row>
    <row r="441" spans="1:13" s="155" customFormat="1" ht="90" x14ac:dyDescent="0.25">
      <c r="A441" s="492">
        <v>140</v>
      </c>
      <c r="B441" s="384" t="s">
        <v>295</v>
      </c>
      <c r="C441" s="418" t="s">
        <v>208</v>
      </c>
      <c r="D441" s="262" t="s">
        <v>280</v>
      </c>
      <c r="E441" s="412">
        <f>E442</f>
        <v>7000</v>
      </c>
      <c r="F441" s="412">
        <f>F442</f>
        <v>6800</v>
      </c>
      <c r="G441" s="413">
        <f t="shared" si="42"/>
        <v>97.142857142857139</v>
      </c>
      <c r="H441" s="414">
        <v>100</v>
      </c>
      <c r="I441" s="412">
        <f>I442</f>
        <v>22600</v>
      </c>
      <c r="J441" s="412">
        <f>J442</f>
        <v>21600</v>
      </c>
      <c r="K441" s="413">
        <f t="shared" si="44"/>
        <v>95.575221238938056</v>
      </c>
      <c r="L441" s="414">
        <v>100</v>
      </c>
      <c r="M441" s="429"/>
    </row>
    <row r="442" spans="1:13" s="155" customFormat="1" x14ac:dyDescent="0.25">
      <c r="A442" s="492"/>
      <c r="B442" s="387" t="s">
        <v>22</v>
      </c>
      <c r="C442" s="419"/>
      <c r="D442" s="388"/>
      <c r="E442" s="415">
        <v>7000</v>
      </c>
      <c r="F442" s="415">
        <v>6800</v>
      </c>
      <c r="G442" s="416">
        <f t="shared" si="42"/>
        <v>97.142857142857139</v>
      </c>
      <c r="H442" s="417"/>
      <c r="I442" s="415">
        <f>E442+'2017'!E318+'2018'!E329</f>
        <v>22600</v>
      </c>
      <c r="J442" s="415">
        <f>F442+'2017'!F318+'2018'!F329</f>
        <v>21600</v>
      </c>
      <c r="K442" s="416">
        <f t="shared" si="44"/>
        <v>95.575221238938056</v>
      </c>
      <c r="L442" s="417"/>
      <c r="M442" s="429"/>
    </row>
    <row r="443" spans="1:13" ht="75" x14ac:dyDescent="0.25">
      <c r="A443" s="492">
        <v>141</v>
      </c>
      <c r="B443" s="384" t="s">
        <v>209</v>
      </c>
      <c r="C443" s="418" t="s">
        <v>208</v>
      </c>
      <c r="D443" s="262" t="s">
        <v>16</v>
      </c>
      <c r="E443" s="412">
        <f>E444</f>
        <v>6500</v>
      </c>
      <c r="F443" s="412">
        <f>F444</f>
        <v>5499.1</v>
      </c>
      <c r="G443" s="413">
        <f t="shared" si="42"/>
        <v>84.601538461538468</v>
      </c>
      <c r="H443" s="414">
        <v>100</v>
      </c>
      <c r="I443" s="412">
        <f>I444</f>
        <v>24000</v>
      </c>
      <c r="J443" s="412">
        <f>J444</f>
        <v>25243.18</v>
      </c>
      <c r="K443" s="413">
        <f t="shared" si="44"/>
        <v>105.17991666666666</v>
      </c>
      <c r="L443" s="414">
        <v>100</v>
      </c>
      <c r="M443" s="384"/>
    </row>
    <row r="444" spans="1:13" s="155" customFormat="1" x14ac:dyDescent="0.25">
      <c r="A444" s="492"/>
      <c r="B444" s="387" t="s">
        <v>22</v>
      </c>
      <c r="C444" s="419"/>
      <c r="D444" s="388"/>
      <c r="E444" s="415">
        <v>6500</v>
      </c>
      <c r="F444" s="415">
        <v>5499.1</v>
      </c>
      <c r="G444" s="416">
        <f t="shared" si="42"/>
        <v>84.601538461538468</v>
      </c>
      <c r="H444" s="417"/>
      <c r="I444" s="415">
        <f>E444+'2016'!E323+'2017'!E320+'2018'!E331</f>
        <v>24000</v>
      </c>
      <c r="J444" s="415">
        <f>F444+'2016'!F323+'2017'!F320+'2018'!F331</f>
        <v>25243.18</v>
      </c>
      <c r="K444" s="416">
        <f t="shared" si="44"/>
        <v>105.17991666666666</v>
      </c>
      <c r="L444" s="417"/>
      <c r="M444" s="429"/>
    </row>
    <row r="445" spans="1:13" s="155" customFormat="1" ht="60" x14ac:dyDescent="0.25">
      <c r="A445" s="492">
        <v>142</v>
      </c>
      <c r="B445" s="384" t="s">
        <v>408</v>
      </c>
      <c r="C445" s="418" t="s">
        <v>208</v>
      </c>
      <c r="D445" s="262" t="s">
        <v>486</v>
      </c>
      <c r="E445" s="412"/>
      <c r="F445" s="412"/>
      <c r="G445" s="413"/>
      <c r="H445" s="414"/>
      <c r="I445" s="412">
        <f>I446</f>
        <v>5000</v>
      </c>
      <c r="J445" s="412">
        <f>J446</f>
        <v>4962</v>
      </c>
      <c r="K445" s="413">
        <f t="shared" si="44"/>
        <v>99.24</v>
      </c>
      <c r="L445" s="414">
        <v>100</v>
      </c>
      <c r="M445" s="429"/>
    </row>
    <row r="446" spans="1:13" s="155" customFormat="1" x14ac:dyDescent="0.25">
      <c r="A446" s="492"/>
      <c r="B446" s="387" t="s">
        <v>22</v>
      </c>
      <c r="C446" s="419"/>
      <c r="D446" s="388"/>
      <c r="E446" s="415"/>
      <c r="F446" s="415"/>
      <c r="G446" s="416"/>
      <c r="H446" s="417"/>
      <c r="I446" s="415">
        <f>'2016'!E325+'2018'!E333</f>
        <v>5000</v>
      </c>
      <c r="J446" s="415">
        <f>'2016'!F325+'2018'!F333</f>
        <v>4962</v>
      </c>
      <c r="K446" s="416">
        <f t="shared" si="44"/>
        <v>99.24</v>
      </c>
      <c r="L446" s="417"/>
      <c r="M446" s="429"/>
    </row>
    <row r="447" spans="1:13" s="155" customFormat="1" ht="75" x14ac:dyDescent="0.25">
      <c r="A447" s="492">
        <v>143</v>
      </c>
      <c r="B447" s="384" t="s">
        <v>203</v>
      </c>
      <c r="C447" s="418" t="s">
        <v>208</v>
      </c>
      <c r="D447" s="262">
        <v>2018</v>
      </c>
      <c r="E447" s="412"/>
      <c r="F447" s="412"/>
      <c r="G447" s="413"/>
      <c r="H447" s="414"/>
      <c r="I447" s="412">
        <f>I448</f>
        <v>2700</v>
      </c>
      <c r="J447" s="412">
        <f>J448</f>
        <v>2694.38</v>
      </c>
      <c r="K447" s="413">
        <f t="shared" si="44"/>
        <v>99.79185185185186</v>
      </c>
      <c r="L447" s="414">
        <v>100</v>
      </c>
      <c r="M447" s="429"/>
    </row>
    <row r="448" spans="1:13" s="155" customFormat="1" x14ac:dyDescent="0.25">
      <c r="A448" s="492"/>
      <c r="B448" s="387" t="s">
        <v>22</v>
      </c>
      <c r="C448" s="419"/>
      <c r="D448" s="388"/>
      <c r="E448" s="415"/>
      <c r="F448" s="415"/>
      <c r="G448" s="416"/>
      <c r="H448" s="417"/>
      <c r="I448" s="415">
        <f>'2018'!E335</f>
        <v>2700</v>
      </c>
      <c r="J448" s="415">
        <f>'2018'!F335</f>
        <v>2694.38</v>
      </c>
      <c r="K448" s="416">
        <f t="shared" si="44"/>
        <v>99.79185185185186</v>
      </c>
      <c r="L448" s="417"/>
      <c r="M448" s="429"/>
    </row>
    <row r="449" spans="1:13" s="155" customFormat="1" ht="135" x14ac:dyDescent="0.25">
      <c r="A449" s="492">
        <v>144</v>
      </c>
      <c r="B449" s="384" t="s">
        <v>487</v>
      </c>
      <c r="C449" s="418" t="s">
        <v>208</v>
      </c>
      <c r="D449" s="262">
        <v>2018</v>
      </c>
      <c r="E449" s="412"/>
      <c r="F449" s="412"/>
      <c r="G449" s="416"/>
      <c r="H449" s="414"/>
      <c r="I449" s="412">
        <f>I450</f>
        <v>6000</v>
      </c>
      <c r="J449" s="412">
        <f>J450</f>
        <v>0</v>
      </c>
      <c r="K449" s="413">
        <f t="shared" si="44"/>
        <v>0</v>
      </c>
      <c r="L449" s="414"/>
      <c r="M449" s="384" t="s">
        <v>488</v>
      </c>
    </row>
    <row r="450" spans="1:13" s="155" customFormat="1" x14ac:dyDescent="0.25">
      <c r="A450" s="492"/>
      <c r="B450" s="387" t="s">
        <v>22</v>
      </c>
      <c r="C450" s="419"/>
      <c r="D450" s="388"/>
      <c r="E450" s="415"/>
      <c r="F450" s="415"/>
      <c r="G450" s="416"/>
      <c r="H450" s="417"/>
      <c r="I450" s="415">
        <f>'2018'!E337</f>
        <v>6000</v>
      </c>
      <c r="J450" s="415">
        <f>'2018'!F337</f>
        <v>0</v>
      </c>
      <c r="K450" s="416">
        <f t="shared" ref="K450" si="46">J450/I450*100</f>
        <v>0</v>
      </c>
      <c r="L450" s="417"/>
      <c r="M450" s="429"/>
    </row>
    <row r="451" spans="1:13" s="155" customFormat="1" ht="90" x14ac:dyDescent="0.25">
      <c r="A451" s="492">
        <v>145</v>
      </c>
      <c r="B451" s="384" t="s">
        <v>295</v>
      </c>
      <c r="C451" s="418" t="s">
        <v>210</v>
      </c>
      <c r="D451" s="490">
        <v>2017</v>
      </c>
      <c r="E451" s="415"/>
      <c r="F451" s="415"/>
      <c r="G451" s="416"/>
      <c r="H451" s="417"/>
      <c r="I451" s="412">
        <f>I452</f>
        <v>5000</v>
      </c>
      <c r="J451" s="412">
        <f>J452</f>
        <v>4200</v>
      </c>
      <c r="K451" s="413">
        <f t="shared" ref="K451:K454" si="47">J451/I451*100</f>
        <v>84</v>
      </c>
      <c r="L451" s="414">
        <v>100</v>
      </c>
      <c r="M451" s="429"/>
    </row>
    <row r="452" spans="1:13" s="155" customFormat="1" x14ac:dyDescent="0.25">
      <c r="A452" s="492"/>
      <c r="B452" s="387" t="s">
        <v>22</v>
      </c>
      <c r="C452" s="419"/>
      <c r="D452" s="388"/>
      <c r="E452" s="415"/>
      <c r="F452" s="415"/>
      <c r="G452" s="416"/>
      <c r="H452" s="417"/>
      <c r="I452" s="415">
        <v>5000</v>
      </c>
      <c r="J452" s="415">
        <v>4200</v>
      </c>
      <c r="K452" s="416">
        <f t="shared" si="47"/>
        <v>84</v>
      </c>
      <c r="L452" s="417"/>
      <c r="M452" s="429"/>
    </row>
    <row r="453" spans="1:13" s="155" customFormat="1" ht="60" x14ac:dyDescent="0.25">
      <c r="A453" s="492">
        <v>146</v>
      </c>
      <c r="B453" s="384" t="s">
        <v>620</v>
      </c>
      <c r="C453" s="418" t="s">
        <v>210</v>
      </c>
      <c r="D453" s="490" t="s">
        <v>598</v>
      </c>
      <c r="E453" s="412">
        <f>E454</f>
        <v>5000</v>
      </c>
      <c r="F453" s="412">
        <f>F454</f>
        <v>4558.1899999999996</v>
      </c>
      <c r="G453" s="413">
        <f t="shared" ref="G453:G454" si="48">F453/E453*100</f>
        <v>91.163799999999995</v>
      </c>
      <c r="H453" s="414">
        <v>100</v>
      </c>
      <c r="I453" s="412">
        <f>I454</f>
        <v>15000</v>
      </c>
      <c r="J453" s="412">
        <f>J454</f>
        <v>13643.05</v>
      </c>
      <c r="K453" s="413">
        <f t="shared" si="47"/>
        <v>90.953666666666663</v>
      </c>
      <c r="L453" s="417"/>
      <c r="M453" s="429"/>
    </row>
    <row r="454" spans="1:13" s="155" customFormat="1" x14ac:dyDescent="0.25">
      <c r="A454" s="492"/>
      <c r="B454" s="387" t="s">
        <v>22</v>
      </c>
      <c r="C454" s="419"/>
      <c r="D454" s="388"/>
      <c r="E454" s="415">
        <v>5000</v>
      </c>
      <c r="F454" s="415">
        <v>4558.1899999999996</v>
      </c>
      <c r="G454" s="413">
        <f t="shared" si="48"/>
        <v>91.163799999999995</v>
      </c>
      <c r="H454" s="417"/>
      <c r="I454" s="415">
        <v>15000</v>
      </c>
      <c r="J454" s="415">
        <v>13643.05</v>
      </c>
      <c r="K454" s="416">
        <f t="shared" si="47"/>
        <v>90.953666666666663</v>
      </c>
      <c r="L454" s="417"/>
      <c r="M454" s="429"/>
    </row>
    <row r="455" spans="1:13" s="155" customFormat="1" ht="60" x14ac:dyDescent="0.25">
      <c r="A455" s="492">
        <v>147</v>
      </c>
      <c r="B455" s="384" t="s">
        <v>548</v>
      </c>
      <c r="C455" s="418" t="s">
        <v>210</v>
      </c>
      <c r="D455" s="490">
        <v>2017</v>
      </c>
      <c r="E455" s="415"/>
      <c r="F455" s="415"/>
      <c r="G455" s="416"/>
      <c r="H455" s="417"/>
      <c r="I455" s="412">
        <f>I456</f>
        <v>5000</v>
      </c>
      <c r="J455" s="412">
        <f>J456</f>
        <v>2753.28</v>
      </c>
      <c r="K455" s="413">
        <f t="shared" ref="K455:K456" si="49">J455/I455*100</f>
        <v>55.065600000000003</v>
      </c>
      <c r="L455" s="414">
        <v>100</v>
      </c>
      <c r="M455" s="429"/>
    </row>
    <row r="456" spans="1:13" s="155" customFormat="1" x14ac:dyDescent="0.25">
      <c r="A456" s="492"/>
      <c r="B456" s="387" t="s">
        <v>22</v>
      </c>
      <c r="C456" s="419"/>
      <c r="D456" s="388"/>
      <c r="E456" s="415"/>
      <c r="F456" s="415"/>
      <c r="G456" s="416"/>
      <c r="H456" s="417"/>
      <c r="I456" s="415">
        <v>5000</v>
      </c>
      <c r="J456" s="415">
        <v>2753.28</v>
      </c>
      <c r="K456" s="416">
        <f t="shared" si="49"/>
        <v>55.065600000000003</v>
      </c>
      <c r="L456" s="417"/>
      <c r="M456" s="429"/>
    </row>
    <row r="457" spans="1:13" x14ac:dyDescent="0.25">
      <c r="A457" s="492"/>
      <c r="B457" s="394" t="s">
        <v>54</v>
      </c>
      <c r="C457" s="418"/>
      <c r="D457" s="262"/>
      <c r="E457" s="420">
        <f>E458+E459</f>
        <v>4899990.2000000011</v>
      </c>
      <c r="F457" s="420">
        <f>F458+F459</f>
        <v>4853444.88</v>
      </c>
      <c r="G457" s="421">
        <f t="shared" ref="G457:G459" si="50">F457/E457*100</f>
        <v>99.050093610391272</v>
      </c>
      <c r="H457" s="414"/>
      <c r="I457" s="420">
        <f>I458+I459+I460</f>
        <v>17668928</v>
      </c>
      <c r="J457" s="420">
        <f>J458+J459+J460</f>
        <v>18340549.989999998</v>
      </c>
      <c r="K457" s="421">
        <f t="shared" ref="K457:K521" si="51">J457/I457*100</f>
        <v>103.80114735879845</v>
      </c>
      <c r="L457" s="414"/>
      <c r="M457" s="398"/>
    </row>
    <row r="458" spans="1:13" s="155" customFormat="1" x14ac:dyDescent="0.25">
      <c r="A458" s="492"/>
      <c r="B458" s="387" t="s">
        <v>13</v>
      </c>
      <c r="C458" s="419"/>
      <c r="D458" s="388"/>
      <c r="E458" s="415">
        <f>E251+E253+E255+E257+E259+E261+E263+E265+E267+E269+E271+E276+E278+E280+E282+E284+E301+E303+E305+E307+E309+E311+E313+E315+E317+E319+E321+E325+E327</f>
        <v>4616710.0000000009</v>
      </c>
      <c r="F458" s="415">
        <f>F251+F253+F255+F257+F259+F261+F263+F265+F267+F269+F271+F276+F278+F280+F282+F284+F301+F303+F305+F307+F309+F311+F313+F315+F317+F319+F321+F325+F327</f>
        <v>4583270.05</v>
      </c>
      <c r="G458" s="416">
        <f t="shared" si="50"/>
        <v>99.275675751779929</v>
      </c>
      <c r="H458" s="417"/>
      <c r="I458" s="415">
        <f>'2016'!E331+'2017'!E328+'2018'!E339+'2019'!E458</f>
        <v>16014996.800000001</v>
      </c>
      <c r="J458" s="415">
        <f>J251+J253+J255+J257+J259+J261+J263+J265+J267+J269+J271+J276+J278+J280+J282+J284+J301+J303+J305+J307+J309+J311+J313+J315+J317+J319+J321+J325+J327</f>
        <v>15705484.089999998</v>
      </c>
      <c r="K458" s="416">
        <f t="shared" si="51"/>
        <v>98.067357028756931</v>
      </c>
      <c r="L458" s="417"/>
      <c r="M458" s="450"/>
    </row>
    <row r="459" spans="1:13" s="155" customFormat="1" x14ac:dyDescent="0.25">
      <c r="A459" s="492"/>
      <c r="B459" s="387" t="s">
        <v>22</v>
      </c>
      <c r="C459" s="419"/>
      <c r="D459" s="388"/>
      <c r="E459" s="415">
        <f>E333+E335+E337+E340+E343+E345+E347+E351+E353+E355+E358+E360+E362+E364+E366+E368+E370+E372+E374+E376+E378+E380+E382+E384+E387+E389+E391+E393+E395+E397+E399+E401+E403+E405+E407+E409+E411++E413+E417+E419+E421+E423+E425+E427+E430+E432+E434+E436+E438+E440+E442+E444+E446+E448+E450+E452+E454+E456</f>
        <v>283280.2</v>
      </c>
      <c r="F459" s="415">
        <f>F333+F335+F337+F340+F343+F345+F347+F351+F353+F355+F358+F360+F362+F364+F366+F368+F370+F372+F374+F376+F378+F380+F382+F384+F387+F389+F391+F393+F395+F397+F399+F401+F403+F405+F407+F409+F411++F413+F417+F419+F421+F423+F425+F427+F430+F432+F434+F436+F438+F440+F442+F444+F446+F448+F450+F452+F454+F456</f>
        <v>270174.82999999996</v>
      </c>
      <c r="G459" s="416">
        <f t="shared" si="50"/>
        <v>95.373707728249258</v>
      </c>
      <c r="H459" s="417"/>
      <c r="I459" s="415">
        <f>I333+I335+I337+I340+I343+I345+I347+I351+I353+I355+I358+I360+I362+I364+I366+I368+I370+I372+I374+I376+I378+I380+I382+I384+I387+I389+I391+I393+I395+I397+I399+I401+I403+I405+I407+I409+I411++I413+I417+I419+I421+I423+I425+I427+I430+I432+I434+I436+I438+I440+I442+I444+I446+I448+I450+I452+I454+I456</f>
        <v>1576931.2</v>
      </c>
      <c r="J459" s="415">
        <f>J333+J335+J337+J340+J343+J345+J347+J351+J353+J355+J358+J360+J362+J364+J366+J368+J370+J372+J374+J376+J378+J380+J382+J384+J387+J389+J391+J393+J395+J397+J399+J401+J403+J405+J407+J409+J411++J413+J417+J419+J421+J423+J425+J427+J430+J432+J434+J436+J438+J440+J442+J444+J446+J448+J450+J452+J454+J456</f>
        <v>1368851.95</v>
      </c>
      <c r="K459" s="416">
        <f t="shared" si="51"/>
        <v>86.804798459184525</v>
      </c>
      <c r="L459" s="417"/>
      <c r="M459" s="429"/>
    </row>
    <row r="460" spans="1:13" s="155" customFormat="1" ht="30" x14ac:dyDescent="0.25">
      <c r="A460" s="510"/>
      <c r="B460" s="387" t="s">
        <v>139</v>
      </c>
      <c r="C460" s="419"/>
      <c r="D460" s="388"/>
      <c r="E460" s="415">
        <f>E349+E341</f>
        <v>0</v>
      </c>
      <c r="F460" s="415">
        <f>F349+F341</f>
        <v>0</v>
      </c>
      <c r="G460" s="416"/>
      <c r="H460" s="417"/>
      <c r="I460" s="415">
        <f>I349+I341+I415</f>
        <v>77000</v>
      </c>
      <c r="J460" s="415">
        <f>J349+J341+J415</f>
        <v>1266213.95</v>
      </c>
      <c r="K460" s="416"/>
      <c r="L460" s="417"/>
      <c r="M460" s="429"/>
    </row>
    <row r="461" spans="1:13" x14ac:dyDescent="0.25">
      <c r="A461" s="564" t="s">
        <v>212</v>
      </c>
      <c r="B461" s="564"/>
      <c r="C461" s="564"/>
      <c r="D461" s="564"/>
      <c r="E461" s="564"/>
      <c r="F461" s="564"/>
      <c r="G461" s="564"/>
      <c r="H461" s="564"/>
      <c r="I461" s="564"/>
      <c r="J461" s="564"/>
      <c r="K461" s="564"/>
      <c r="L461" s="564"/>
      <c r="M461" s="564"/>
    </row>
    <row r="462" spans="1:13" ht="75" x14ac:dyDescent="0.25">
      <c r="A462" s="492">
        <v>148</v>
      </c>
      <c r="B462" s="384" t="s">
        <v>213</v>
      </c>
      <c r="C462" s="418" t="s">
        <v>149</v>
      </c>
      <c r="D462" s="262" t="s">
        <v>16</v>
      </c>
      <c r="E462" s="412">
        <f>E463</f>
        <v>1700</v>
      </c>
      <c r="F462" s="412">
        <f>F463</f>
        <v>1720</v>
      </c>
      <c r="G462" s="413">
        <f>F462/E462*100</f>
        <v>101.17647058823529</v>
      </c>
      <c r="H462" s="414">
        <v>100</v>
      </c>
      <c r="I462" s="412">
        <f>I463</f>
        <v>10100</v>
      </c>
      <c r="J462" s="412">
        <f>J463</f>
        <v>10721</v>
      </c>
      <c r="K462" s="413">
        <f t="shared" si="51"/>
        <v>106.14851485148516</v>
      </c>
      <c r="L462" s="414">
        <v>100</v>
      </c>
      <c r="M462" s="398"/>
    </row>
    <row r="463" spans="1:13" s="155" customFormat="1" x14ac:dyDescent="0.25">
      <c r="A463" s="492"/>
      <c r="B463" s="387" t="s">
        <v>19</v>
      </c>
      <c r="C463" s="419"/>
      <c r="D463" s="388"/>
      <c r="E463" s="415">
        <f>E466+E465+E467</f>
        <v>1700</v>
      </c>
      <c r="F463" s="415">
        <f>F466+F465+F467</f>
        <v>1720</v>
      </c>
      <c r="G463" s="416">
        <f t="shared" ref="G463:G541" si="52">F463/E463*100</f>
        <v>101.17647058823529</v>
      </c>
      <c r="H463" s="417"/>
      <c r="I463" s="415">
        <f>I466+I465+I467</f>
        <v>10100</v>
      </c>
      <c r="J463" s="415">
        <f>J466+J465+J467</f>
        <v>10721</v>
      </c>
      <c r="K463" s="416">
        <f t="shared" si="51"/>
        <v>106.14851485148516</v>
      </c>
      <c r="L463" s="417"/>
      <c r="M463" s="429"/>
    </row>
    <row r="464" spans="1:13" s="155" customFormat="1" x14ac:dyDescent="0.25">
      <c r="A464" s="492"/>
      <c r="B464" s="384" t="s">
        <v>155</v>
      </c>
      <c r="C464" s="419"/>
      <c r="D464" s="388"/>
      <c r="E464" s="415"/>
      <c r="F464" s="415"/>
      <c r="G464" s="416"/>
      <c r="H464" s="417"/>
      <c r="I464" s="417"/>
      <c r="J464" s="417"/>
      <c r="K464" s="416"/>
      <c r="L464" s="417"/>
      <c r="M464" s="429"/>
    </row>
    <row r="465" spans="1:13" s="155" customFormat="1" x14ac:dyDescent="0.25">
      <c r="A465" s="492"/>
      <c r="B465" s="384" t="s">
        <v>164</v>
      </c>
      <c r="C465" s="419"/>
      <c r="D465" s="388"/>
      <c r="E465" s="415">
        <v>400</v>
      </c>
      <c r="F465" s="415">
        <v>400</v>
      </c>
      <c r="G465" s="416">
        <f t="shared" si="52"/>
        <v>100</v>
      </c>
      <c r="H465" s="417"/>
      <c r="I465" s="415">
        <f>E465+'2016'!E338+'2017'!E335+'2018'!E345</f>
        <v>5200</v>
      </c>
      <c r="J465" s="415">
        <f>F465+'2016'!F338+'2017'!F335+'2018'!F345</f>
        <v>5200</v>
      </c>
      <c r="K465" s="416">
        <f t="shared" si="51"/>
        <v>100</v>
      </c>
      <c r="L465" s="417"/>
      <c r="M465" s="429"/>
    </row>
    <row r="466" spans="1:13" s="155" customFormat="1" x14ac:dyDescent="0.25">
      <c r="A466" s="492"/>
      <c r="B466" s="384" t="s">
        <v>214</v>
      </c>
      <c r="C466" s="419"/>
      <c r="D466" s="388"/>
      <c r="E466" s="415">
        <v>800</v>
      </c>
      <c r="F466" s="415">
        <v>820</v>
      </c>
      <c r="G466" s="416">
        <f t="shared" si="52"/>
        <v>102.49999999999999</v>
      </c>
      <c r="H466" s="417"/>
      <c r="I466" s="415">
        <f>E466+'2016'!E339+'2017'!E336+'2018'!E346</f>
        <v>3200</v>
      </c>
      <c r="J466" s="415">
        <f>F466+'2016'!F339+'2017'!F336+'2018'!F346</f>
        <v>3821</v>
      </c>
      <c r="K466" s="416">
        <f t="shared" si="51"/>
        <v>119.40625</v>
      </c>
      <c r="L466" s="417"/>
      <c r="M466" s="429"/>
    </row>
    <row r="467" spans="1:13" s="155" customFormat="1" x14ac:dyDescent="0.25">
      <c r="A467" s="492"/>
      <c r="B467" s="384" t="s">
        <v>215</v>
      </c>
      <c r="C467" s="419"/>
      <c r="D467" s="388"/>
      <c r="E467" s="415">
        <v>500</v>
      </c>
      <c r="F467" s="415">
        <v>500</v>
      </c>
      <c r="G467" s="416">
        <f t="shared" si="52"/>
        <v>100</v>
      </c>
      <c r="H467" s="417"/>
      <c r="I467" s="415">
        <f>E467+'2016'!E340+'2017'!E337+'2018'!E347</f>
        <v>1700</v>
      </c>
      <c r="J467" s="415">
        <f>F467+'2016'!F340+'2017'!F337+'2018'!F347</f>
        <v>1700</v>
      </c>
      <c r="K467" s="416">
        <f t="shared" si="51"/>
        <v>100</v>
      </c>
      <c r="L467" s="417"/>
      <c r="M467" s="429"/>
    </row>
    <row r="468" spans="1:13" ht="45" x14ac:dyDescent="0.25">
      <c r="A468" s="492">
        <v>149</v>
      </c>
      <c r="B468" s="384" t="s">
        <v>489</v>
      </c>
      <c r="C468" s="418" t="s">
        <v>149</v>
      </c>
      <c r="D468" s="262" t="s">
        <v>16</v>
      </c>
      <c r="E468" s="412">
        <f>E469</f>
        <v>1900</v>
      </c>
      <c r="F468" s="412">
        <f>F469</f>
        <v>2150</v>
      </c>
      <c r="G468" s="413">
        <f t="shared" si="52"/>
        <v>113.1578947368421</v>
      </c>
      <c r="H468" s="414">
        <v>100</v>
      </c>
      <c r="I468" s="412">
        <f>I469</f>
        <v>7300</v>
      </c>
      <c r="J468" s="412">
        <f>J469</f>
        <v>7790</v>
      </c>
      <c r="K468" s="413">
        <f t="shared" si="51"/>
        <v>106.71232876712328</v>
      </c>
      <c r="L468" s="414">
        <v>100</v>
      </c>
      <c r="M468" s="398"/>
    </row>
    <row r="469" spans="1:13" s="155" customFormat="1" x14ac:dyDescent="0.25">
      <c r="A469" s="492"/>
      <c r="B469" s="387" t="s">
        <v>19</v>
      </c>
      <c r="C469" s="419"/>
      <c r="D469" s="388"/>
      <c r="E469" s="415">
        <f>E472+E471+E473</f>
        <v>1900</v>
      </c>
      <c r="F469" s="415">
        <f>F472+F471+F473</f>
        <v>2150</v>
      </c>
      <c r="G469" s="416">
        <f t="shared" si="52"/>
        <v>113.1578947368421</v>
      </c>
      <c r="H469" s="417"/>
      <c r="I469" s="415">
        <f>I472+I471+I473</f>
        <v>7300</v>
      </c>
      <c r="J469" s="415">
        <f>J472+J471+J473</f>
        <v>7790</v>
      </c>
      <c r="K469" s="416">
        <f t="shared" si="51"/>
        <v>106.71232876712328</v>
      </c>
      <c r="L469" s="417"/>
      <c r="M469" s="429"/>
    </row>
    <row r="470" spans="1:13" s="155" customFormat="1" x14ac:dyDescent="0.25">
      <c r="A470" s="492"/>
      <c r="B470" s="384" t="s">
        <v>155</v>
      </c>
      <c r="C470" s="419"/>
      <c r="D470" s="388"/>
      <c r="E470" s="415"/>
      <c r="F470" s="415"/>
      <c r="G470" s="416"/>
      <c r="H470" s="417"/>
      <c r="I470" s="417"/>
      <c r="J470" s="417"/>
      <c r="K470" s="416"/>
      <c r="L470" s="417"/>
      <c r="M470" s="429"/>
    </row>
    <row r="471" spans="1:13" s="155" customFormat="1" x14ac:dyDescent="0.25">
      <c r="A471" s="492"/>
      <c r="B471" s="384" t="s">
        <v>164</v>
      </c>
      <c r="C471" s="419"/>
      <c r="D471" s="388"/>
      <c r="E471" s="415">
        <v>400</v>
      </c>
      <c r="F471" s="415">
        <v>400</v>
      </c>
      <c r="G471" s="416">
        <f t="shared" si="52"/>
        <v>100</v>
      </c>
      <c r="H471" s="417"/>
      <c r="I471" s="415">
        <f>E471+'2016'!E344+'2017'!E341+'2018'!E351</f>
        <v>1600</v>
      </c>
      <c r="J471" s="415">
        <f>F471+'2016'!F344+'2017'!F341+'2018'!F351</f>
        <v>1600</v>
      </c>
      <c r="K471" s="416">
        <f t="shared" si="51"/>
        <v>100</v>
      </c>
      <c r="L471" s="417"/>
      <c r="M471" s="429"/>
    </row>
    <row r="472" spans="1:13" s="155" customFormat="1" x14ac:dyDescent="0.25">
      <c r="A472" s="492"/>
      <c r="B472" s="384" t="s">
        <v>214</v>
      </c>
      <c r="C472" s="419"/>
      <c r="D472" s="388"/>
      <c r="E472" s="415">
        <v>800</v>
      </c>
      <c r="F472" s="415">
        <v>1050</v>
      </c>
      <c r="G472" s="416">
        <f t="shared" si="52"/>
        <v>131.25</v>
      </c>
      <c r="H472" s="417"/>
      <c r="I472" s="415">
        <f>E472+'2016'!E345+'2017'!E342+'2018'!E352</f>
        <v>3200</v>
      </c>
      <c r="J472" s="415">
        <f>F472+'2016'!F345+'2017'!F342+'2018'!F352</f>
        <v>3690</v>
      </c>
      <c r="K472" s="416">
        <f t="shared" si="51"/>
        <v>115.3125</v>
      </c>
      <c r="L472" s="417"/>
      <c r="M472" s="429"/>
    </row>
    <row r="473" spans="1:13" s="155" customFormat="1" x14ac:dyDescent="0.25">
      <c r="A473" s="492"/>
      <c r="B473" s="384" t="s">
        <v>215</v>
      </c>
      <c r="C473" s="419"/>
      <c r="D473" s="388"/>
      <c r="E473" s="415">
        <v>700</v>
      </c>
      <c r="F473" s="415">
        <v>700</v>
      </c>
      <c r="G473" s="416">
        <f t="shared" si="52"/>
        <v>100</v>
      </c>
      <c r="H473" s="417"/>
      <c r="I473" s="415">
        <f>E473+'2016'!E346+'2017'!E343+'2018'!E353</f>
        <v>2500</v>
      </c>
      <c r="J473" s="415">
        <f>F473+'2016'!F346+'2017'!F343+'2018'!F353</f>
        <v>2500</v>
      </c>
      <c r="K473" s="416">
        <f t="shared" si="51"/>
        <v>100</v>
      </c>
      <c r="L473" s="417"/>
      <c r="M473" s="429"/>
    </row>
    <row r="474" spans="1:13" ht="105" x14ac:dyDescent="0.25">
      <c r="A474" s="492">
        <v>150</v>
      </c>
      <c r="B474" s="384" t="s">
        <v>217</v>
      </c>
      <c r="C474" s="418" t="s">
        <v>149</v>
      </c>
      <c r="D474" s="262" t="s">
        <v>16</v>
      </c>
      <c r="E474" s="412">
        <f>E475</f>
        <v>900</v>
      </c>
      <c r="F474" s="412">
        <f>F475</f>
        <v>920</v>
      </c>
      <c r="G474" s="413">
        <f t="shared" si="52"/>
        <v>102.22222222222221</v>
      </c>
      <c r="H474" s="414">
        <v>100</v>
      </c>
      <c r="I474" s="412">
        <f>I475</f>
        <v>4100</v>
      </c>
      <c r="J474" s="412">
        <f>J475</f>
        <v>4240</v>
      </c>
      <c r="K474" s="413">
        <f t="shared" si="51"/>
        <v>103.41463414634147</v>
      </c>
      <c r="L474" s="414">
        <v>100</v>
      </c>
      <c r="M474" s="398"/>
    </row>
    <row r="475" spans="1:13" s="155" customFormat="1" x14ac:dyDescent="0.25">
      <c r="A475" s="492"/>
      <c r="B475" s="387" t="s">
        <v>19</v>
      </c>
      <c r="C475" s="419"/>
      <c r="D475" s="388"/>
      <c r="E475" s="415">
        <f>E478+E477+E479</f>
        <v>900</v>
      </c>
      <c r="F475" s="415">
        <f>F478+F477+F479</f>
        <v>920</v>
      </c>
      <c r="G475" s="416">
        <f t="shared" si="52"/>
        <v>102.22222222222221</v>
      </c>
      <c r="H475" s="417"/>
      <c r="I475" s="415">
        <f>I478+I477+I479</f>
        <v>4100</v>
      </c>
      <c r="J475" s="415">
        <f>J478+J477+J479</f>
        <v>4240</v>
      </c>
      <c r="K475" s="416">
        <f t="shared" si="51"/>
        <v>103.41463414634147</v>
      </c>
      <c r="L475" s="417"/>
      <c r="M475" s="429"/>
    </row>
    <row r="476" spans="1:13" x14ac:dyDescent="0.25">
      <c r="A476" s="492"/>
      <c r="B476" s="384" t="s">
        <v>155</v>
      </c>
      <c r="C476" s="418"/>
      <c r="D476" s="262"/>
      <c r="E476" s="412"/>
      <c r="F476" s="412"/>
      <c r="G476" s="413"/>
      <c r="H476" s="414"/>
      <c r="I476" s="414"/>
      <c r="J476" s="414"/>
      <c r="K476" s="416"/>
      <c r="L476" s="414"/>
      <c r="M476" s="398"/>
    </row>
    <row r="477" spans="1:13" x14ac:dyDescent="0.25">
      <c r="A477" s="492"/>
      <c r="B477" s="384" t="s">
        <v>164</v>
      </c>
      <c r="C477" s="418"/>
      <c r="D477" s="262"/>
      <c r="E477" s="412">
        <v>200</v>
      </c>
      <c r="F477" s="412">
        <v>200</v>
      </c>
      <c r="G477" s="413">
        <f t="shared" si="52"/>
        <v>100</v>
      </c>
      <c r="H477" s="414"/>
      <c r="I477" s="415">
        <f>E477+'2016'!E350+'2017'!E347+'2018'!E357</f>
        <v>800</v>
      </c>
      <c r="J477" s="415">
        <f>F477+'2016'!F350+'2017'!F347+'2018'!F357</f>
        <v>800</v>
      </c>
      <c r="K477" s="416">
        <f t="shared" si="51"/>
        <v>100</v>
      </c>
      <c r="L477" s="414"/>
      <c r="M477" s="398"/>
    </row>
    <row r="478" spans="1:13" x14ac:dyDescent="0.25">
      <c r="A478" s="492"/>
      <c r="B478" s="384" t="s">
        <v>214</v>
      </c>
      <c r="C478" s="418"/>
      <c r="D478" s="262"/>
      <c r="E478" s="412">
        <v>200</v>
      </c>
      <c r="F478" s="412">
        <v>220</v>
      </c>
      <c r="G478" s="413">
        <f t="shared" si="52"/>
        <v>110.00000000000001</v>
      </c>
      <c r="H478" s="414"/>
      <c r="I478" s="415">
        <f>E478+'2016'!E351+'2017'!E348+'2018'!E358</f>
        <v>800</v>
      </c>
      <c r="J478" s="415">
        <f>F478+'2016'!F351+'2017'!F348+'2018'!F358</f>
        <v>940</v>
      </c>
      <c r="K478" s="416">
        <f t="shared" si="51"/>
        <v>117.5</v>
      </c>
      <c r="L478" s="414"/>
      <c r="M478" s="398"/>
    </row>
    <row r="479" spans="1:13" x14ac:dyDescent="0.25">
      <c r="A479" s="492"/>
      <c r="B479" s="384" t="s">
        <v>215</v>
      </c>
      <c r="C479" s="418"/>
      <c r="D479" s="262"/>
      <c r="E479" s="412">
        <v>500</v>
      </c>
      <c r="F479" s="412">
        <v>500</v>
      </c>
      <c r="G479" s="413">
        <f t="shared" si="52"/>
        <v>100</v>
      </c>
      <c r="H479" s="414"/>
      <c r="I479" s="415">
        <f>E479+'2016'!E352+'2017'!E349+'2018'!E359</f>
        <v>2500</v>
      </c>
      <c r="J479" s="415">
        <f>F479+'2016'!F352+'2017'!F349+'2018'!F359</f>
        <v>2500</v>
      </c>
      <c r="K479" s="416">
        <f t="shared" si="51"/>
        <v>100</v>
      </c>
      <c r="L479" s="414"/>
      <c r="M479" s="398"/>
    </row>
    <row r="480" spans="1:13" ht="75" x14ac:dyDescent="0.25">
      <c r="A480" s="492">
        <v>151</v>
      </c>
      <c r="B480" s="384" t="s">
        <v>218</v>
      </c>
      <c r="C480" s="418" t="s">
        <v>149</v>
      </c>
      <c r="D480" s="262" t="s">
        <v>16</v>
      </c>
      <c r="E480" s="412">
        <f>E481</f>
        <v>1000</v>
      </c>
      <c r="F480" s="412">
        <f>F481</f>
        <v>1000</v>
      </c>
      <c r="G480" s="413">
        <f t="shared" si="52"/>
        <v>100</v>
      </c>
      <c r="H480" s="414">
        <v>100</v>
      </c>
      <c r="I480" s="412">
        <f>I481</f>
        <v>48000</v>
      </c>
      <c r="J480" s="412">
        <f>J481</f>
        <v>51050</v>
      </c>
      <c r="K480" s="413">
        <f t="shared" si="51"/>
        <v>106.35416666666666</v>
      </c>
      <c r="L480" s="414">
        <v>100</v>
      </c>
      <c r="M480" s="398"/>
    </row>
    <row r="481" spans="1:13" s="155" customFormat="1" x14ac:dyDescent="0.25">
      <c r="A481" s="492"/>
      <c r="B481" s="387" t="s">
        <v>19</v>
      </c>
      <c r="C481" s="419"/>
      <c r="D481" s="388"/>
      <c r="E481" s="415">
        <f>E483+E484</f>
        <v>1000</v>
      </c>
      <c r="F481" s="415">
        <f>F483+F484</f>
        <v>1000</v>
      </c>
      <c r="G481" s="416">
        <f t="shared" si="52"/>
        <v>100</v>
      </c>
      <c r="H481" s="417"/>
      <c r="I481" s="415">
        <f>I483+I484</f>
        <v>48000</v>
      </c>
      <c r="J481" s="415">
        <f>J483+J484</f>
        <v>51050</v>
      </c>
      <c r="K481" s="416">
        <f t="shared" si="51"/>
        <v>106.35416666666666</v>
      </c>
      <c r="L481" s="417"/>
      <c r="M481" s="429"/>
    </row>
    <row r="482" spans="1:13" x14ac:dyDescent="0.25">
      <c r="A482" s="492"/>
      <c r="B482" s="384" t="s">
        <v>155</v>
      </c>
      <c r="C482" s="418"/>
      <c r="D482" s="262"/>
      <c r="E482" s="412"/>
      <c r="F482" s="412"/>
      <c r="G482" s="413"/>
      <c r="H482" s="414"/>
      <c r="I482" s="414"/>
      <c r="J482" s="414"/>
      <c r="K482" s="416"/>
      <c r="L482" s="414"/>
      <c r="M482" s="398"/>
    </row>
    <row r="483" spans="1:13" x14ac:dyDescent="0.25">
      <c r="A483" s="492"/>
      <c r="B483" s="384" t="s">
        <v>214</v>
      </c>
      <c r="C483" s="418"/>
      <c r="D483" s="262"/>
      <c r="E483" s="412"/>
      <c r="F483" s="412"/>
      <c r="G483" s="413"/>
      <c r="H483" s="414"/>
      <c r="I483" s="415">
        <f>E483+'2016'!E356+'2017'!E353+'2018'!E363</f>
        <v>45000</v>
      </c>
      <c r="J483" s="415">
        <f>F483+'2016'!F356+'2017'!F353+'2018'!F363</f>
        <v>48050</v>
      </c>
      <c r="K483" s="416">
        <f t="shared" si="51"/>
        <v>106.77777777777777</v>
      </c>
      <c r="L483" s="414"/>
      <c r="M483" s="398"/>
    </row>
    <row r="484" spans="1:13" x14ac:dyDescent="0.25">
      <c r="A484" s="492"/>
      <c r="B484" s="384" t="s">
        <v>215</v>
      </c>
      <c r="C484" s="418"/>
      <c r="D484" s="262"/>
      <c r="E484" s="412">
        <v>1000</v>
      </c>
      <c r="F484" s="412">
        <v>1000</v>
      </c>
      <c r="G484" s="413">
        <f t="shared" si="52"/>
        <v>100</v>
      </c>
      <c r="H484" s="414"/>
      <c r="I484" s="415">
        <f>E484+'2016'!E357+'2017'!E354+'2018'!E364</f>
        <v>3000</v>
      </c>
      <c r="J484" s="415">
        <f>F484+'2016'!F357+'2017'!F354+'2018'!F364</f>
        <v>3000</v>
      </c>
      <c r="K484" s="416">
        <f t="shared" si="51"/>
        <v>100</v>
      </c>
      <c r="L484" s="414"/>
      <c r="M484" s="398"/>
    </row>
    <row r="485" spans="1:13" ht="75" x14ac:dyDescent="0.25">
      <c r="A485" s="492">
        <v>152</v>
      </c>
      <c r="B485" s="384" t="s">
        <v>219</v>
      </c>
      <c r="C485" s="418" t="s">
        <v>149</v>
      </c>
      <c r="D485" s="262" t="s">
        <v>16</v>
      </c>
      <c r="E485" s="412">
        <f>E486</f>
        <v>900</v>
      </c>
      <c r="F485" s="412">
        <f>F486</f>
        <v>900</v>
      </c>
      <c r="G485" s="413">
        <f t="shared" si="52"/>
        <v>100</v>
      </c>
      <c r="H485" s="414">
        <v>100</v>
      </c>
      <c r="I485" s="412">
        <f>I486</f>
        <v>3600</v>
      </c>
      <c r="J485" s="412">
        <f>J486</f>
        <v>3600</v>
      </c>
      <c r="K485" s="413">
        <f t="shared" si="51"/>
        <v>100</v>
      </c>
      <c r="L485" s="414">
        <v>100</v>
      </c>
      <c r="M485" s="398"/>
    </row>
    <row r="486" spans="1:13" s="155" customFormat="1" x14ac:dyDescent="0.25">
      <c r="A486" s="492"/>
      <c r="B486" s="387" t="s">
        <v>19</v>
      </c>
      <c r="C486" s="419"/>
      <c r="D486" s="388"/>
      <c r="E486" s="415">
        <f>E488+E489+E490</f>
        <v>900</v>
      </c>
      <c r="F486" s="415">
        <f>F488+F489+F490</f>
        <v>900</v>
      </c>
      <c r="G486" s="416">
        <f t="shared" si="52"/>
        <v>100</v>
      </c>
      <c r="H486" s="417"/>
      <c r="I486" s="415">
        <f>I488+I489+I490</f>
        <v>3600</v>
      </c>
      <c r="J486" s="415">
        <f>J488+J489+J490</f>
        <v>3600</v>
      </c>
      <c r="K486" s="416">
        <f t="shared" si="51"/>
        <v>100</v>
      </c>
      <c r="L486" s="417"/>
      <c r="M486" s="429"/>
    </row>
    <row r="487" spans="1:13" x14ac:dyDescent="0.25">
      <c r="A487" s="492"/>
      <c r="B487" s="384" t="s">
        <v>155</v>
      </c>
      <c r="C487" s="418"/>
      <c r="D487" s="262"/>
      <c r="E487" s="412"/>
      <c r="F487" s="412"/>
      <c r="G487" s="413"/>
      <c r="H487" s="414"/>
      <c r="I487" s="414"/>
      <c r="J487" s="414"/>
      <c r="K487" s="416"/>
      <c r="L487" s="414"/>
      <c r="M487" s="398"/>
    </row>
    <row r="488" spans="1:13" x14ac:dyDescent="0.25">
      <c r="A488" s="492"/>
      <c r="B488" s="384" t="s">
        <v>164</v>
      </c>
      <c r="C488" s="418"/>
      <c r="D488" s="262"/>
      <c r="E488" s="412">
        <v>200</v>
      </c>
      <c r="F488" s="412">
        <v>200</v>
      </c>
      <c r="G488" s="413">
        <f t="shared" si="52"/>
        <v>100</v>
      </c>
      <c r="H488" s="414"/>
      <c r="I488" s="415">
        <f>E488+'2016'!E361+'2017'!E358+'2018'!E368</f>
        <v>800</v>
      </c>
      <c r="J488" s="415">
        <f>F488+'2016'!F361+'2017'!F358+'2018'!F368</f>
        <v>800</v>
      </c>
      <c r="K488" s="416">
        <f t="shared" si="51"/>
        <v>100</v>
      </c>
      <c r="L488" s="414"/>
      <c r="M488" s="398"/>
    </row>
    <row r="489" spans="1:13" x14ac:dyDescent="0.25">
      <c r="A489" s="492"/>
      <c r="B489" s="384" t="s">
        <v>214</v>
      </c>
      <c r="C489" s="418"/>
      <c r="D489" s="262"/>
      <c r="E489" s="412">
        <v>200</v>
      </c>
      <c r="F489" s="412">
        <v>200</v>
      </c>
      <c r="G489" s="413">
        <f t="shared" si="52"/>
        <v>100</v>
      </c>
      <c r="H489" s="414"/>
      <c r="I489" s="415">
        <f>E489+'2016'!E362+'2017'!E359+'2018'!E369</f>
        <v>800</v>
      </c>
      <c r="J489" s="415">
        <f>F489+'2016'!F362+'2017'!F359+'2018'!F369</f>
        <v>800</v>
      </c>
      <c r="K489" s="416">
        <f t="shared" si="51"/>
        <v>100</v>
      </c>
      <c r="L489" s="414"/>
      <c r="M489" s="398"/>
    </row>
    <row r="490" spans="1:13" x14ac:dyDescent="0.25">
      <c r="A490" s="492"/>
      <c r="B490" s="384" t="s">
        <v>215</v>
      </c>
      <c r="C490" s="418"/>
      <c r="D490" s="262"/>
      <c r="E490" s="412">
        <v>500</v>
      </c>
      <c r="F490" s="412">
        <v>500</v>
      </c>
      <c r="G490" s="413">
        <f t="shared" si="52"/>
        <v>100</v>
      </c>
      <c r="H490" s="414"/>
      <c r="I490" s="415">
        <f>E490+'2016'!E363+'2017'!E360+'2018'!E370</f>
        <v>2000</v>
      </c>
      <c r="J490" s="415">
        <f>F490+'2016'!F363+'2017'!F360+'2018'!F370</f>
        <v>2000</v>
      </c>
      <c r="K490" s="416">
        <f t="shared" si="51"/>
        <v>100</v>
      </c>
      <c r="L490" s="414"/>
      <c r="M490" s="398"/>
    </row>
    <row r="491" spans="1:13" ht="45" x14ac:dyDescent="0.25">
      <c r="A491" s="492">
        <v>153</v>
      </c>
      <c r="B491" s="384" t="s">
        <v>220</v>
      </c>
      <c r="C491" s="418" t="s">
        <v>149</v>
      </c>
      <c r="D491" s="262" t="s">
        <v>16</v>
      </c>
      <c r="E491" s="412">
        <f>E492</f>
        <v>1200</v>
      </c>
      <c r="F491" s="412">
        <f>F492</f>
        <v>1197.96</v>
      </c>
      <c r="G491" s="413">
        <f t="shared" si="52"/>
        <v>99.830000000000013</v>
      </c>
      <c r="H491" s="414">
        <v>100</v>
      </c>
      <c r="I491" s="412">
        <f>I492</f>
        <v>7026.5</v>
      </c>
      <c r="J491" s="412">
        <f>J492</f>
        <v>7014.7800000000007</v>
      </c>
      <c r="K491" s="413">
        <f t="shared" si="51"/>
        <v>99.833202874831002</v>
      </c>
      <c r="L491" s="414">
        <v>100</v>
      </c>
      <c r="M491" s="398"/>
    </row>
    <row r="492" spans="1:13" s="155" customFormat="1" x14ac:dyDescent="0.25">
      <c r="A492" s="492"/>
      <c r="B492" s="387" t="s">
        <v>13</v>
      </c>
      <c r="C492" s="419"/>
      <c r="D492" s="388"/>
      <c r="E492" s="415">
        <f>E494+E495+E496</f>
        <v>1200</v>
      </c>
      <c r="F492" s="415">
        <f>F494+F495+F496</f>
        <v>1197.96</v>
      </c>
      <c r="G492" s="416">
        <f t="shared" si="52"/>
        <v>99.830000000000013</v>
      </c>
      <c r="H492" s="417"/>
      <c r="I492" s="415">
        <f>I494+I495+I496</f>
        <v>7026.5</v>
      </c>
      <c r="J492" s="415">
        <f>J494+J495+J496</f>
        <v>7014.7800000000007</v>
      </c>
      <c r="K492" s="416">
        <f t="shared" si="51"/>
        <v>99.833202874831002</v>
      </c>
      <c r="L492" s="417"/>
      <c r="M492" s="429"/>
    </row>
    <row r="493" spans="1:13" x14ac:dyDescent="0.25">
      <c r="A493" s="492"/>
      <c r="B493" s="384" t="s">
        <v>155</v>
      </c>
      <c r="C493" s="418"/>
      <c r="D493" s="262"/>
      <c r="E493" s="412"/>
      <c r="F493" s="412"/>
      <c r="G493" s="413"/>
      <c r="H493" s="414"/>
      <c r="I493" s="414"/>
      <c r="J493" s="414"/>
      <c r="K493" s="416"/>
      <c r="L493" s="414"/>
      <c r="M493" s="398"/>
    </row>
    <row r="494" spans="1:13" x14ac:dyDescent="0.25">
      <c r="A494" s="492"/>
      <c r="B494" s="384" t="s">
        <v>164</v>
      </c>
      <c r="C494" s="418"/>
      <c r="D494" s="262"/>
      <c r="E494" s="412">
        <v>200</v>
      </c>
      <c r="F494" s="412">
        <v>198.02</v>
      </c>
      <c r="G494" s="413">
        <v>0</v>
      </c>
      <c r="H494" s="414"/>
      <c r="I494" s="415">
        <f>E494+'2016'!E367+'2017'!E364+'2018'!E374</f>
        <v>400</v>
      </c>
      <c r="J494" s="415">
        <f>F494+'2016'!F367+'2017'!F364+'2018'!F374</f>
        <v>393.17</v>
      </c>
      <c r="K494" s="416">
        <f t="shared" si="51"/>
        <v>98.292500000000004</v>
      </c>
      <c r="L494" s="414"/>
      <c r="M494" s="398"/>
    </row>
    <row r="495" spans="1:13" x14ac:dyDescent="0.25">
      <c r="A495" s="492"/>
      <c r="B495" s="384" t="s">
        <v>214</v>
      </c>
      <c r="C495" s="418"/>
      <c r="D495" s="262"/>
      <c r="E495" s="412">
        <v>1000</v>
      </c>
      <c r="F495" s="412">
        <v>999.94</v>
      </c>
      <c r="G495" s="413">
        <f t="shared" si="52"/>
        <v>99.994</v>
      </c>
      <c r="H495" s="414"/>
      <c r="I495" s="415">
        <f>E495+'2016'!E368+'2017'!E365+'2018'!E375</f>
        <v>5626.5</v>
      </c>
      <c r="J495" s="415">
        <f>F495+'2016'!F368+'2017'!F365+'2018'!F375</f>
        <v>5621.6900000000005</v>
      </c>
      <c r="K495" s="416">
        <f t="shared" si="51"/>
        <v>99.914511685772695</v>
      </c>
      <c r="L495" s="414"/>
      <c r="M495" s="398"/>
    </row>
    <row r="496" spans="1:13" x14ac:dyDescent="0.25">
      <c r="A496" s="492"/>
      <c r="B496" s="384" t="s">
        <v>215</v>
      </c>
      <c r="C496" s="418"/>
      <c r="D496" s="262"/>
      <c r="E496" s="412"/>
      <c r="F496" s="412"/>
      <c r="G496" s="413"/>
      <c r="H496" s="414"/>
      <c r="I496" s="415">
        <f>E496+'2016'!E369+'2018'!E376</f>
        <v>1000</v>
      </c>
      <c r="J496" s="415">
        <f>F496+'2016'!F369+'2018'!F376</f>
        <v>999.92</v>
      </c>
      <c r="K496" s="416">
        <f t="shared" si="51"/>
        <v>99.99199999999999</v>
      </c>
      <c r="L496" s="414"/>
      <c r="M496" s="398"/>
    </row>
    <row r="497" spans="1:13" ht="45" x14ac:dyDescent="0.25">
      <c r="A497" s="501">
        <v>154</v>
      </c>
      <c r="B497" s="384" t="s">
        <v>666</v>
      </c>
      <c r="C497" s="418" t="s">
        <v>149</v>
      </c>
      <c r="D497" s="501" t="s">
        <v>248</v>
      </c>
      <c r="E497" s="412">
        <f>E498</f>
        <v>2800</v>
      </c>
      <c r="F497" s="412">
        <f>F498</f>
        <v>2799.3</v>
      </c>
      <c r="G497" s="413">
        <f t="shared" si="52"/>
        <v>99.975000000000009</v>
      </c>
      <c r="H497" s="414">
        <v>100</v>
      </c>
      <c r="I497" s="412">
        <f>I498</f>
        <v>4600</v>
      </c>
      <c r="J497" s="412">
        <f>J498</f>
        <v>4598.25</v>
      </c>
      <c r="K497" s="413">
        <f t="shared" si="51"/>
        <v>99.961956521739125</v>
      </c>
      <c r="L497" s="414">
        <v>100</v>
      </c>
      <c r="M497" s="398"/>
    </row>
    <row r="498" spans="1:13" x14ac:dyDescent="0.25">
      <c r="A498" s="501"/>
      <c r="B498" s="387" t="s">
        <v>13</v>
      </c>
      <c r="C498" s="418"/>
      <c r="D498" s="501"/>
      <c r="E498" s="415">
        <f>E500+E501+E502</f>
        <v>2800</v>
      </c>
      <c r="F498" s="415">
        <f>F500+F501+F502</f>
        <v>2799.3</v>
      </c>
      <c r="G498" s="416">
        <f t="shared" si="52"/>
        <v>99.975000000000009</v>
      </c>
      <c r="H498" s="414"/>
      <c r="I498" s="415">
        <f>I500+I501+I502</f>
        <v>4600</v>
      </c>
      <c r="J498" s="415">
        <f>J500+J501+J502</f>
        <v>4598.25</v>
      </c>
      <c r="K498" s="416">
        <f t="shared" si="51"/>
        <v>99.961956521739125</v>
      </c>
      <c r="L498" s="414"/>
      <c r="M498" s="398"/>
    </row>
    <row r="499" spans="1:13" x14ac:dyDescent="0.25">
      <c r="A499" s="501"/>
      <c r="B499" s="384" t="s">
        <v>155</v>
      </c>
      <c r="C499" s="418"/>
      <c r="D499" s="501"/>
      <c r="E499" s="412"/>
      <c r="F499" s="412"/>
      <c r="G499" s="413"/>
      <c r="H499" s="414"/>
      <c r="I499" s="415"/>
      <c r="J499" s="415"/>
      <c r="K499" s="416"/>
      <c r="L499" s="414"/>
      <c r="M499" s="398"/>
    </row>
    <row r="500" spans="1:13" x14ac:dyDescent="0.25">
      <c r="A500" s="501"/>
      <c r="B500" s="384" t="s">
        <v>164</v>
      </c>
      <c r="C500" s="418"/>
      <c r="D500" s="501"/>
      <c r="E500" s="412">
        <v>300</v>
      </c>
      <c r="F500" s="412">
        <v>299.52</v>
      </c>
      <c r="G500" s="413">
        <f t="shared" si="52"/>
        <v>99.839999999999989</v>
      </c>
      <c r="H500" s="414"/>
      <c r="I500" s="415">
        <f>E500+'2017'!E369</f>
        <v>600</v>
      </c>
      <c r="J500" s="415">
        <f>F500+'2017'!F369</f>
        <v>599.29</v>
      </c>
      <c r="K500" s="416">
        <f t="shared" si="51"/>
        <v>99.881666666666661</v>
      </c>
      <c r="L500" s="414"/>
      <c r="M500" s="398"/>
    </row>
    <row r="501" spans="1:13" x14ac:dyDescent="0.25">
      <c r="A501" s="501"/>
      <c r="B501" s="384" t="s">
        <v>214</v>
      </c>
      <c r="C501" s="418"/>
      <c r="D501" s="501"/>
      <c r="E501" s="412">
        <v>1500</v>
      </c>
      <c r="F501" s="412">
        <v>1499.78</v>
      </c>
      <c r="G501" s="413">
        <f t="shared" si="52"/>
        <v>99.98533333333333</v>
      </c>
      <c r="H501" s="414"/>
      <c r="I501" s="415">
        <f>E501+'2017'!E370</f>
        <v>3000</v>
      </c>
      <c r="J501" s="415">
        <f>F501+'2017'!F370</f>
        <v>2998.96</v>
      </c>
      <c r="K501" s="416">
        <f t="shared" si="51"/>
        <v>99.965333333333334</v>
      </c>
      <c r="L501" s="414"/>
      <c r="M501" s="398"/>
    </row>
    <row r="502" spans="1:13" x14ac:dyDescent="0.25">
      <c r="A502" s="501"/>
      <c r="B502" s="384" t="s">
        <v>215</v>
      </c>
      <c r="C502" s="418"/>
      <c r="D502" s="501"/>
      <c r="E502" s="412">
        <v>1000</v>
      </c>
      <c r="F502" s="412">
        <v>1000</v>
      </c>
      <c r="G502" s="413">
        <f t="shared" si="52"/>
        <v>100</v>
      </c>
      <c r="H502" s="414"/>
      <c r="I502" s="415">
        <f>E502</f>
        <v>1000</v>
      </c>
      <c r="J502" s="415">
        <f>F502</f>
        <v>1000</v>
      </c>
      <c r="K502" s="416">
        <f t="shared" si="51"/>
        <v>100</v>
      </c>
      <c r="L502" s="414"/>
      <c r="M502" s="398"/>
    </row>
    <row r="503" spans="1:13" ht="42.75" customHeight="1" x14ac:dyDescent="0.25">
      <c r="A503" s="492">
        <v>155</v>
      </c>
      <c r="B503" s="384" t="s">
        <v>221</v>
      </c>
      <c r="C503" s="418" t="s">
        <v>149</v>
      </c>
      <c r="D503" s="262" t="s">
        <v>16</v>
      </c>
      <c r="E503" s="412">
        <f>E504+E505</f>
        <v>37500</v>
      </c>
      <c r="F503" s="412">
        <f>F504+F505</f>
        <v>67888.39</v>
      </c>
      <c r="G503" s="413">
        <f t="shared" si="52"/>
        <v>181.03570666666667</v>
      </c>
      <c r="H503" s="414">
        <v>100</v>
      </c>
      <c r="I503" s="412">
        <f>I504+I505</f>
        <v>136054</v>
      </c>
      <c r="J503" s="412">
        <f>J504+J505</f>
        <v>212475.22</v>
      </c>
      <c r="K503" s="413">
        <f t="shared" si="51"/>
        <v>156.16977082628955</v>
      </c>
      <c r="L503" s="414">
        <v>100</v>
      </c>
      <c r="M503" s="398"/>
    </row>
    <row r="504" spans="1:13" x14ac:dyDescent="0.25">
      <c r="A504" s="492"/>
      <c r="B504" s="387" t="s">
        <v>13</v>
      </c>
      <c r="C504" s="418"/>
      <c r="D504" s="262"/>
      <c r="E504" s="415">
        <f>E508+E511+E514</f>
        <v>19000</v>
      </c>
      <c r="F504" s="415">
        <f>F508+F511+F514</f>
        <v>18958.39</v>
      </c>
      <c r="G504" s="413"/>
      <c r="H504" s="414"/>
      <c r="I504" s="415">
        <f>I508+I511+I514</f>
        <v>43054</v>
      </c>
      <c r="J504" s="415">
        <f>J508+J511+J514</f>
        <v>41088.22</v>
      </c>
      <c r="K504" s="416">
        <f t="shared" si="51"/>
        <v>95.434152459701778</v>
      </c>
      <c r="L504" s="414"/>
      <c r="M504" s="398"/>
    </row>
    <row r="505" spans="1:13" s="155" customFormat="1" x14ac:dyDescent="0.25">
      <c r="A505" s="492"/>
      <c r="B505" s="387" t="s">
        <v>19</v>
      </c>
      <c r="C505" s="419"/>
      <c r="D505" s="388"/>
      <c r="E505" s="415">
        <f>E509+E512+E515</f>
        <v>18500</v>
      </c>
      <c r="F505" s="415">
        <f>F509+F512+F515</f>
        <v>48930</v>
      </c>
      <c r="G505" s="416">
        <f t="shared" si="52"/>
        <v>264.48648648648646</v>
      </c>
      <c r="H505" s="417"/>
      <c r="I505" s="415">
        <f>I509+I512+I515</f>
        <v>93000</v>
      </c>
      <c r="J505" s="415">
        <f>J509+J512+J515</f>
        <v>171387</v>
      </c>
      <c r="K505" s="416">
        <f t="shared" si="51"/>
        <v>184.28709677419354</v>
      </c>
      <c r="L505" s="417"/>
      <c r="M505" s="447"/>
    </row>
    <row r="506" spans="1:13" x14ac:dyDescent="0.25">
      <c r="A506" s="492"/>
      <c r="B506" s="384" t="s">
        <v>155</v>
      </c>
      <c r="C506" s="418"/>
      <c r="D506" s="262"/>
      <c r="E506" s="412"/>
      <c r="F506" s="412"/>
      <c r="G506" s="413"/>
      <c r="H506" s="414"/>
      <c r="I506" s="414"/>
      <c r="J506" s="414"/>
      <c r="K506" s="416"/>
      <c r="L506" s="414"/>
      <c r="M506" s="444"/>
    </row>
    <row r="507" spans="1:13" x14ac:dyDescent="0.25">
      <c r="A507" s="492"/>
      <c r="B507" s="384" t="s">
        <v>164</v>
      </c>
      <c r="C507" s="418"/>
      <c r="D507" s="262"/>
      <c r="E507" s="412">
        <f>E508+E509</f>
        <v>7500</v>
      </c>
      <c r="F507" s="412">
        <f>F508+F509</f>
        <v>7500</v>
      </c>
      <c r="G507" s="413">
        <f t="shared" si="52"/>
        <v>100</v>
      </c>
      <c r="H507" s="414"/>
      <c r="I507" s="412">
        <f>I508+I509</f>
        <v>18315</v>
      </c>
      <c r="J507" s="412">
        <f>J508+J509</f>
        <v>16309.189999999999</v>
      </c>
      <c r="K507" s="416">
        <f t="shared" si="51"/>
        <v>89.048266448266446</v>
      </c>
      <c r="L507" s="414"/>
      <c r="M507" s="444"/>
    </row>
    <row r="508" spans="1:13" x14ac:dyDescent="0.25">
      <c r="A508" s="492"/>
      <c r="B508" s="387" t="s">
        <v>13</v>
      </c>
      <c r="C508" s="418"/>
      <c r="D508" s="262"/>
      <c r="E508" s="415">
        <v>6000</v>
      </c>
      <c r="F508" s="415">
        <v>6000</v>
      </c>
      <c r="G508" s="413"/>
      <c r="H508" s="414"/>
      <c r="I508" s="415">
        <f>E508+'2016'!E375+'2018'!E382</f>
        <v>13315</v>
      </c>
      <c r="J508" s="415">
        <f>F508+'2016'!F375+'2018'!F382</f>
        <v>11309.189999999999</v>
      </c>
      <c r="K508" s="416">
        <f t="shared" si="51"/>
        <v>84.935711603454749</v>
      </c>
      <c r="L508" s="414"/>
      <c r="M508" s="444"/>
    </row>
    <row r="509" spans="1:13" x14ac:dyDescent="0.25">
      <c r="A509" s="492"/>
      <c r="B509" s="387" t="s">
        <v>19</v>
      </c>
      <c r="C509" s="418"/>
      <c r="D509" s="262"/>
      <c r="E509" s="415">
        <v>1500</v>
      </c>
      <c r="F509" s="415">
        <v>1500</v>
      </c>
      <c r="G509" s="413"/>
      <c r="H509" s="414"/>
      <c r="I509" s="415">
        <f>E509+'2016'!E376+'2017'!E374+'2018'!E383</f>
        <v>5000</v>
      </c>
      <c r="J509" s="415">
        <f>F509+'2016'!F376+'2017'!F374+'2018'!F383</f>
        <v>5000</v>
      </c>
      <c r="K509" s="416">
        <f t="shared" si="51"/>
        <v>100</v>
      </c>
      <c r="L509" s="414"/>
      <c r="M509" s="444"/>
    </row>
    <row r="510" spans="1:13" x14ac:dyDescent="0.25">
      <c r="A510" s="492"/>
      <c r="B510" s="384" t="s">
        <v>214</v>
      </c>
      <c r="C510" s="418"/>
      <c r="D510" s="262"/>
      <c r="E510" s="412">
        <f>E511+E512</f>
        <v>21500</v>
      </c>
      <c r="F510" s="412">
        <f>F511+F512</f>
        <v>51888.39</v>
      </c>
      <c r="G510" s="413">
        <f t="shared" si="52"/>
        <v>241.34134883720927</v>
      </c>
      <c r="H510" s="414"/>
      <c r="I510" s="412">
        <f>I511+I512</f>
        <v>72924</v>
      </c>
      <c r="J510" s="412">
        <f>J511+J512</f>
        <v>151248.53</v>
      </c>
      <c r="K510" s="416">
        <f t="shared" si="51"/>
        <v>207.40569634139652</v>
      </c>
      <c r="L510" s="414"/>
      <c r="M510" s="444"/>
    </row>
    <row r="511" spans="1:13" x14ac:dyDescent="0.25">
      <c r="A511" s="492"/>
      <c r="B511" s="387" t="s">
        <v>13</v>
      </c>
      <c r="C511" s="418"/>
      <c r="D511" s="262"/>
      <c r="E511" s="415">
        <v>9500</v>
      </c>
      <c r="F511" s="412">
        <v>9458.39</v>
      </c>
      <c r="G511" s="413"/>
      <c r="H511" s="414"/>
      <c r="I511" s="415">
        <f>E511+'2016'!E378+'2018'!E385</f>
        <v>24924</v>
      </c>
      <c r="J511" s="412">
        <f>F511+'2016'!F378+'2018'!F385</f>
        <v>24861.53</v>
      </c>
      <c r="K511" s="416">
        <f t="shared" si="51"/>
        <v>99.749358048467343</v>
      </c>
      <c r="L511" s="414"/>
      <c r="M511" s="444"/>
    </row>
    <row r="512" spans="1:13" x14ac:dyDescent="0.25">
      <c r="A512" s="492"/>
      <c r="B512" s="387" t="s">
        <v>19</v>
      </c>
      <c r="C512" s="418"/>
      <c r="D512" s="262"/>
      <c r="E512" s="415">
        <v>12000</v>
      </c>
      <c r="F512" s="412">
        <v>42430</v>
      </c>
      <c r="G512" s="413"/>
      <c r="H512" s="414"/>
      <c r="I512" s="415">
        <f>E512+'2016'!E379+'2017'!E375+'2018'!E386</f>
        <v>48000</v>
      </c>
      <c r="J512" s="412">
        <f>F512+'2016'!F379+'2017'!F375+'2018'!F386</f>
        <v>126387</v>
      </c>
      <c r="K512" s="416">
        <f t="shared" si="51"/>
        <v>263.30624999999998</v>
      </c>
      <c r="L512" s="414"/>
      <c r="M512" s="444"/>
    </row>
    <row r="513" spans="1:13" x14ac:dyDescent="0.25">
      <c r="A513" s="492"/>
      <c r="B513" s="384" t="s">
        <v>215</v>
      </c>
      <c r="C513" s="418"/>
      <c r="D513" s="262"/>
      <c r="E513" s="412">
        <f>E514+E515</f>
        <v>8500</v>
      </c>
      <c r="F513" s="412">
        <f>F514+F515</f>
        <v>8500</v>
      </c>
      <c r="G513" s="413">
        <f t="shared" si="52"/>
        <v>100</v>
      </c>
      <c r="H513" s="414"/>
      <c r="I513" s="412">
        <f>I514+I515</f>
        <v>44815</v>
      </c>
      <c r="J513" s="412">
        <f>J514+J515</f>
        <v>44917.5</v>
      </c>
      <c r="K513" s="416">
        <f t="shared" si="51"/>
        <v>100.22871806314851</v>
      </c>
      <c r="L513" s="414"/>
      <c r="M513" s="444"/>
    </row>
    <row r="514" spans="1:13" x14ac:dyDescent="0.25">
      <c r="A514" s="492"/>
      <c r="B514" s="387" t="s">
        <v>13</v>
      </c>
      <c r="C514" s="418"/>
      <c r="D514" s="262"/>
      <c r="E514" s="415">
        <v>3500</v>
      </c>
      <c r="F514" s="415">
        <v>3500</v>
      </c>
      <c r="G514" s="413"/>
      <c r="H514" s="414"/>
      <c r="I514" s="415">
        <f>E514+'2016'!E381+'2018'!E388</f>
        <v>4815</v>
      </c>
      <c r="J514" s="415">
        <f>F514+'2016'!F381+'2018'!F388</f>
        <v>4917.5</v>
      </c>
      <c r="K514" s="416">
        <f t="shared" si="51"/>
        <v>102.12876427829698</v>
      </c>
      <c r="L514" s="414"/>
      <c r="M514" s="444"/>
    </row>
    <row r="515" spans="1:13" x14ac:dyDescent="0.25">
      <c r="A515" s="492"/>
      <c r="B515" s="387" t="s">
        <v>19</v>
      </c>
      <c r="C515" s="418"/>
      <c r="D515" s="262"/>
      <c r="E515" s="415">
        <v>5000</v>
      </c>
      <c r="F515" s="415">
        <v>5000</v>
      </c>
      <c r="G515" s="413"/>
      <c r="H515" s="414"/>
      <c r="I515" s="415">
        <f>E515+'2016'!E382+'2017'!E376+'2018'!E389</f>
        <v>40000</v>
      </c>
      <c r="J515" s="415">
        <f>F515+'2016'!F382+'2017'!F376+'2018'!F389</f>
        <v>40000</v>
      </c>
      <c r="K515" s="416">
        <f t="shared" si="51"/>
        <v>100</v>
      </c>
      <c r="L515" s="414"/>
      <c r="M515" s="444"/>
    </row>
    <row r="516" spans="1:13" ht="45" x14ac:dyDescent="0.25">
      <c r="A516" s="492">
        <v>156</v>
      </c>
      <c r="B516" s="384" t="s">
        <v>222</v>
      </c>
      <c r="C516" s="418" t="s">
        <v>149</v>
      </c>
      <c r="D516" s="262" t="s">
        <v>16</v>
      </c>
      <c r="E516" s="412">
        <f>E517+E518</f>
        <v>80000</v>
      </c>
      <c r="F516" s="412">
        <f>F517+F518</f>
        <v>99892.07</v>
      </c>
      <c r="G516" s="413">
        <f t="shared" si="52"/>
        <v>124.8650875</v>
      </c>
      <c r="H516" s="414">
        <v>100</v>
      </c>
      <c r="I516" s="412">
        <f>I517+I518</f>
        <v>297429</v>
      </c>
      <c r="J516" s="412">
        <f>J517+J518</f>
        <v>341046.91000000003</v>
      </c>
      <c r="K516" s="413">
        <f t="shared" si="51"/>
        <v>114.66498223105349</v>
      </c>
      <c r="L516" s="414">
        <v>100</v>
      </c>
      <c r="M516" s="444"/>
    </row>
    <row r="517" spans="1:13" x14ac:dyDescent="0.25">
      <c r="A517" s="492"/>
      <c r="B517" s="387" t="s">
        <v>13</v>
      </c>
      <c r="C517" s="418"/>
      <c r="D517" s="262"/>
      <c r="E517" s="415">
        <f>E521+E524</f>
        <v>10000</v>
      </c>
      <c r="F517" s="415">
        <f>F521+F524</f>
        <v>9992.07</v>
      </c>
      <c r="G517" s="413"/>
      <c r="H517" s="414"/>
      <c r="I517" s="415">
        <f>I521+I524</f>
        <v>23929</v>
      </c>
      <c r="J517" s="415">
        <f>J521+J524</f>
        <v>24072.71</v>
      </c>
      <c r="K517" s="416">
        <f t="shared" si="51"/>
        <v>100.60056834802957</v>
      </c>
      <c r="L517" s="414"/>
      <c r="M517" s="444"/>
    </row>
    <row r="518" spans="1:13" s="155" customFormat="1" x14ac:dyDescent="0.25">
      <c r="A518" s="492"/>
      <c r="B518" s="387" t="s">
        <v>19</v>
      </c>
      <c r="C518" s="408"/>
      <c r="D518" s="408"/>
      <c r="E518" s="415">
        <f>E522+E525</f>
        <v>70000</v>
      </c>
      <c r="F518" s="415">
        <f>F522+F525</f>
        <v>89900</v>
      </c>
      <c r="G518" s="416">
        <f t="shared" si="52"/>
        <v>128.42857142857142</v>
      </c>
      <c r="H518" s="417"/>
      <c r="I518" s="415">
        <f>I522+I525</f>
        <v>273500</v>
      </c>
      <c r="J518" s="415">
        <f>J522+J525</f>
        <v>316974.2</v>
      </c>
      <c r="K518" s="416">
        <f t="shared" si="51"/>
        <v>115.89550274223035</v>
      </c>
      <c r="L518" s="417"/>
      <c r="M518" s="447"/>
    </row>
    <row r="519" spans="1:13" x14ac:dyDescent="0.25">
      <c r="A519" s="492"/>
      <c r="B519" s="384" t="s">
        <v>155</v>
      </c>
      <c r="C519" s="383"/>
      <c r="D519" s="383"/>
      <c r="E519" s="412"/>
      <c r="F519" s="412"/>
      <c r="G519" s="413"/>
      <c r="H519" s="414"/>
      <c r="I519" s="414"/>
      <c r="J519" s="414"/>
      <c r="K519" s="416"/>
      <c r="L519" s="414"/>
      <c r="M519" s="444"/>
    </row>
    <row r="520" spans="1:13" x14ac:dyDescent="0.25">
      <c r="A520" s="492"/>
      <c r="B520" s="384" t="s">
        <v>214</v>
      </c>
      <c r="C520" s="383"/>
      <c r="D520" s="383"/>
      <c r="E520" s="412">
        <f>E521+E522</f>
        <v>67000</v>
      </c>
      <c r="F520" s="412">
        <f>F521+F522</f>
        <v>86896.02</v>
      </c>
      <c r="G520" s="413">
        <f t="shared" si="52"/>
        <v>129.69555223880599</v>
      </c>
      <c r="H520" s="414"/>
      <c r="I520" s="412">
        <f>I521+I522</f>
        <v>257000</v>
      </c>
      <c r="J520" s="412">
        <f>J521+J522</f>
        <v>300470.22000000003</v>
      </c>
      <c r="K520" s="416">
        <f t="shared" si="51"/>
        <v>116.91448249027239</v>
      </c>
      <c r="L520" s="414"/>
      <c r="M520" s="444"/>
    </row>
    <row r="521" spans="1:13" x14ac:dyDescent="0.25">
      <c r="A521" s="501"/>
      <c r="B521" s="387" t="s">
        <v>13</v>
      </c>
      <c r="C521" s="383"/>
      <c r="D521" s="383"/>
      <c r="E521" s="415">
        <v>7000</v>
      </c>
      <c r="F521" s="412">
        <v>6996.02</v>
      </c>
      <c r="G521" s="413"/>
      <c r="H521" s="414"/>
      <c r="I521" s="415">
        <f>E521+'2017'!E384</f>
        <v>17000</v>
      </c>
      <c r="J521" s="412">
        <f>F521+'2017'!F384</f>
        <v>16996.02</v>
      </c>
      <c r="K521" s="416">
        <f t="shared" si="51"/>
        <v>99.976588235294116</v>
      </c>
      <c r="L521" s="414"/>
      <c r="M521" s="444"/>
    </row>
    <row r="522" spans="1:13" x14ac:dyDescent="0.25">
      <c r="A522" s="492"/>
      <c r="B522" s="387" t="s">
        <v>19</v>
      </c>
      <c r="C522" s="383"/>
      <c r="D522" s="383"/>
      <c r="E522" s="415">
        <v>60000</v>
      </c>
      <c r="F522" s="415">
        <v>79900</v>
      </c>
      <c r="G522" s="413"/>
      <c r="H522" s="414"/>
      <c r="I522" s="415">
        <f>E522+'2016'!E386+'2017'!E380+'2018'!E394</f>
        <v>240000</v>
      </c>
      <c r="J522" s="415">
        <f>F522+'2016'!F386+'2017'!F380+'2018'!F394</f>
        <v>283474.2</v>
      </c>
      <c r="K522" s="416">
        <f t="shared" ref="K522:K535" si="53">J522/I522*100</f>
        <v>118.11425</v>
      </c>
      <c r="L522" s="414"/>
      <c r="M522" s="444"/>
    </row>
    <row r="523" spans="1:13" x14ac:dyDescent="0.25">
      <c r="A523" s="492"/>
      <c r="B523" s="384" t="s">
        <v>215</v>
      </c>
      <c r="C523" s="383"/>
      <c r="D523" s="383"/>
      <c r="E523" s="412">
        <f>E524+E525</f>
        <v>13000</v>
      </c>
      <c r="F523" s="412">
        <f>F524+F525</f>
        <v>12996.05</v>
      </c>
      <c r="G523" s="413">
        <f t="shared" si="52"/>
        <v>99.969615384615381</v>
      </c>
      <c r="H523" s="414"/>
      <c r="I523" s="412">
        <f>I524+I525</f>
        <v>40429</v>
      </c>
      <c r="J523" s="412">
        <f>J524+J525</f>
        <v>40576.69</v>
      </c>
      <c r="K523" s="416">
        <f t="shared" si="53"/>
        <v>100.36530708155038</v>
      </c>
      <c r="L523" s="414"/>
      <c r="M523" s="444"/>
    </row>
    <row r="524" spans="1:13" s="155" customFormat="1" x14ac:dyDescent="0.25">
      <c r="A524" s="492"/>
      <c r="B524" s="387" t="s">
        <v>13</v>
      </c>
      <c r="C524" s="408"/>
      <c r="D524" s="408"/>
      <c r="E524" s="415">
        <v>3000</v>
      </c>
      <c r="F524" s="415">
        <v>2996.05</v>
      </c>
      <c r="G524" s="416"/>
      <c r="H524" s="417"/>
      <c r="I524" s="415">
        <f>E524+'2017'!E385+'2018'!E397</f>
        <v>6929</v>
      </c>
      <c r="J524" s="415">
        <f>F524+'2017'!F385+'2018'!F397+'2016'!F390</f>
        <v>7076.6900000000005</v>
      </c>
      <c r="K524" s="416">
        <f t="shared" si="53"/>
        <v>102.13147640352145</v>
      </c>
      <c r="L524" s="417"/>
      <c r="M524" s="447"/>
    </row>
    <row r="525" spans="1:13" s="155" customFormat="1" x14ac:dyDescent="0.25">
      <c r="A525" s="492"/>
      <c r="B525" s="387" t="s">
        <v>19</v>
      </c>
      <c r="C525" s="408"/>
      <c r="D525" s="408"/>
      <c r="E525" s="415">
        <v>10000</v>
      </c>
      <c r="F525" s="415">
        <v>10000</v>
      </c>
      <c r="G525" s="416"/>
      <c r="H525" s="417"/>
      <c r="I525" s="415">
        <f>E525+'2016'!E387+'2017'!E381+'2018'!E398</f>
        <v>33500</v>
      </c>
      <c r="J525" s="415">
        <f>F525+'2016'!F387+'2017'!F381+'2018'!F398</f>
        <v>33500</v>
      </c>
      <c r="K525" s="416">
        <f t="shared" si="53"/>
        <v>100</v>
      </c>
      <c r="L525" s="417"/>
      <c r="M525" s="447"/>
    </row>
    <row r="526" spans="1:13" ht="45" x14ac:dyDescent="0.25">
      <c r="A526" s="492">
        <v>157</v>
      </c>
      <c r="B526" s="384" t="s">
        <v>223</v>
      </c>
      <c r="C526" s="418" t="s">
        <v>149</v>
      </c>
      <c r="D526" s="262" t="s">
        <v>16</v>
      </c>
      <c r="E526" s="412">
        <f>E527</f>
        <v>6000</v>
      </c>
      <c r="F526" s="412">
        <f>F527</f>
        <v>6100</v>
      </c>
      <c r="G526" s="413">
        <f t="shared" si="52"/>
        <v>101.66666666666666</v>
      </c>
      <c r="H526" s="414">
        <v>100</v>
      </c>
      <c r="I526" s="412">
        <f>I527</f>
        <v>20500</v>
      </c>
      <c r="J526" s="412">
        <f>J527</f>
        <v>23886.77</v>
      </c>
      <c r="K526" s="413">
        <f t="shared" si="53"/>
        <v>116.52082926829269</v>
      </c>
      <c r="L526" s="414">
        <v>100</v>
      </c>
      <c r="M526" s="444"/>
    </row>
    <row r="527" spans="1:13" s="155" customFormat="1" x14ac:dyDescent="0.25">
      <c r="A527" s="492"/>
      <c r="B527" s="387" t="s">
        <v>19</v>
      </c>
      <c r="C527" s="419"/>
      <c r="D527" s="388"/>
      <c r="E527" s="415">
        <f>E529+E530+E531</f>
        <v>6000</v>
      </c>
      <c r="F527" s="415">
        <f>F529+F530+F531</f>
        <v>6100</v>
      </c>
      <c r="G527" s="416">
        <f t="shared" si="52"/>
        <v>101.66666666666666</v>
      </c>
      <c r="H527" s="417"/>
      <c r="I527" s="415">
        <f>I529+I530+I531</f>
        <v>20500</v>
      </c>
      <c r="J527" s="415">
        <f>J529+J530+J531</f>
        <v>23886.77</v>
      </c>
      <c r="K527" s="416">
        <f t="shared" si="53"/>
        <v>116.52082926829269</v>
      </c>
      <c r="L527" s="417"/>
      <c r="M527" s="447"/>
    </row>
    <row r="528" spans="1:13" x14ac:dyDescent="0.25">
      <c r="A528" s="492"/>
      <c r="B528" s="384" t="s">
        <v>155</v>
      </c>
      <c r="C528" s="418"/>
      <c r="D528" s="262"/>
      <c r="E528" s="412"/>
      <c r="F528" s="412"/>
      <c r="G528" s="413"/>
      <c r="H528" s="414"/>
      <c r="I528" s="414"/>
      <c r="J528" s="414"/>
      <c r="K528" s="416"/>
      <c r="L528" s="414"/>
      <c r="M528" s="444"/>
    </row>
    <row r="529" spans="1:13" x14ac:dyDescent="0.25">
      <c r="A529" s="492"/>
      <c r="B529" s="384" t="s">
        <v>164</v>
      </c>
      <c r="C529" s="383"/>
      <c r="D529" s="383"/>
      <c r="E529" s="412">
        <v>500</v>
      </c>
      <c r="F529" s="412">
        <v>500</v>
      </c>
      <c r="G529" s="413">
        <f t="shared" si="52"/>
        <v>100</v>
      </c>
      <c r="H529" s="414"/>
      <c r="I529" s="412">
        <f>E529+'2016'!E394+'2017'!E389+'2018'!E402</f>
        <v>2000</v>
      </c>
      <c r="J529" s="412">
        <f>F529+'2016'!F394+'2017'!F389+'2018'!F402</f>
        <v>2000</v>
      </c>
      <c r="K529" s="416">
        <f t="shared" si="53"/>
        <v>100</v>
      </c>
      <c r="L529" s="414"/>
      <c r="M529" s="444"/>
    </row>
    <row r="530" spans="1:13" x14ac:dyDescent="0.25">
      <c r="A530" s="492"/>
      <c r="B530" s="384" t="s">
        <v>214</v>
      </c>
      <c r="C530" s="383"/>
      <c r="D530" s="383"/>
      <c r="E530" s="412">
        <v>2500</v>
      </c>
      <c r="F530" s="412">
        <v>2600</v>
      </c>
      <c r="G530" s="413">
        <f t="shared" si="52"/>
        <v>104</v>
      </c>
      <c r="H530" s="414"/>
      <c r="I530" s="412">
        <f>E530+'2016'!E395+'2017'!E390+'2018'!E403</f>
        <v>10000</v>
      </c>
      <c r="J530" s="412">
        <f>F530+'2016'!F395+'2017'!F390+'2018'!F403</f>
        <v>13386.77</v>
      </c>
      <c r="K530" s="416">
        <f t="shared" si="53"/>
        <v>133.86770000000001</v>
      </c>
      <c r="L530" s="414"/>
      <c r="M530" s="444"/>
    </row>
    <row r="531" spans="1:13" x14ac:dyDescent="0.25">
      <c r="A531" s="492"/>
      <c r="B531" s="384" t="s">
        <v>215</v>
      </c>
      <c r="C531" s="383"/>
      <c r="D531" s="383"/>
      <c r="E531" s="412">
        <v>3000</v>
      </c>
      <c r="F531" s="412">
        <v>3000</v>
      </c>
      <c r="G531" s="413">
        <f t="shared" si="52"/>
        <v>100</v>
      </c>
      <c r="H531" s="414"/>
      <c r="I531" s="412">
        <f>E531+'2016'!E396+'2017'!E391+'2018'!E404</f>
        <v>8500</v>
      </c>
      <c r="J531" s="412">
        <f>F531+'2016'!F396+'2017'!F391+'2018'!F404</f>
        <v>8500</v>
      </c>
      <c r="K531" s="416">
        <f t="shared" si="53"/>
        <v>100</v>
      </c>
      <c r="L531" s="414"/>
      <c r="M531" s="444"/>
    </row>
    <row r="532" spans="1:13" ht="45" x14ac:dyDescent="0.25">
      <c r="A532" s="501">
        <v>158</v>
      </c>
      <c r="B532" s="384" t="s">
        <v>667</v>
      </c>
      <c r="C532" s="418" t="s">
        <v>149</v>
      </c>
      <c r="D532" s="383">
        <v>2019</v>
      </c>
      <c r="E532" s="412">
        <f>E533</f>
        <v>7000</v>
      </c>
      <c r="F532" s="412">
        <f>F533</f>
        <v>6995</v>
      </c>
      <c r="G532" s="413">
        <f t="shared" si="52"/>
        <v>99.928571428571431</v>
      </c>
      <c r="H532" s="414">
        <v>100</v>
      </c>
      <c r="I532" s="412">
        <f>I533</f>
        <v>7000</v>
      </c>
      <c r="J532" s="412">
        <f>J533</f>
        <v>6995</v>
      </c>
      <c r="K532" s="413">
        <f t="shared" si="53"/>
        <v>99.928571428571431</v>
      </c>
      <c r="L532" s="414">
        <v>100</v>
      </c>
      <c r="M532" s="444"/>
    </row>
    <row r="533" spans="1:13" x14ac:dyDescent="0.25">
      <c r="A533" s="501"/>
      <c r="B533" s="387" t="s">
        <v>13</v>
      </c>
      <c r="C533" s="383"/>
      <c r="D533" s="383"/>
      <c r="E533" s="415">
        <v>7000</v>
      </c>
      <c r="F533" s="415">
        <v>6995</v>
      </c>
      <c r="G533" s="416">
        <f t="shared" si="52"/>
        <v>99.928571428571431</v>
      </c>
      <c r="H533" s="414"/>
      <c r="I533" s="415">
        <f>E533</f>
        <v>7000</v>
      </c>
      <c r="J533" s="415">
        <f>F533</f>
        <v>6995</v>
      </c>
      <c r="K533" s="416">
        <f t="shared" si="53"/>
        <v>99.928571428571431</v>
      </c>
      <c r="L533" s="414"/>
      <c r="M533" s="444"/>
    </row>
    <row r="534" spans="1:13" ht="45" x14ac:dyDescent="0.25">
      <c r="A534" s="501">
        <v>159</v>
      </c>
      <c r="B534" s="384" t="s">
        <v>550</v>
      </c>
      <c r="C534" s="418" t="s">
        <v>149</v>
      </c>
      <c r="D534" s="383">
        <v>2017</v>
      </c>
      <c r="E534" s="412"/>
      <c r="F534" s="412"/>
      <c r="G534" s="413"/>
      <c r="H534" s="414"/>
      <c r="I534" s="412">
        <f>I535</f>
        <v>3000</v>
      </c>
      <c r="J534" s="412">
        <f>J535</f>
        <v>1200</v>
      </c>
      <c r="K534" s="413">
        <f t="shared" si="53"/>
        <v>40</v>
      </c>
      <c r="L534" s="414">
        <v>100</v>
      </c>
      <c r="M534" s="444"/>
    </row>
    <row r="535" spans="1:13" x14ac:dyDescent="0.25">
      <c r="A535" s="501"/>
      <c r="B535" s="387" t="s">
        <v>19</v>
      </c>
      <c r="C535" s="383"/>
      <c r="D535" s="383"/>
      <c r="E535" s="412"/>
      <c r="F535" s="412"/>
      <c r="G535" s="413"/>
      <c r="H535" s="414"/>
      <c r="I535" s="415">
        <f>'2017'!E393</f>
        <v>3000</v>
      </c>
      <c r="J535" s="415">
        <f>'2017'!F393</f>
        <v>1200</v>
      </c>
      <c r="K535" s="416">
        <f t="shared" si="53"/>
        <v>40</v>
      </c>
      <c r="L535" s="414"/>
      <c r="M535" s="444"/>
    </row>
    <row r="536" spans="1:13" ht="75" x14ac:dyDescent="0.25">
      <c r="A536" s="492">
        <v>160</v>
      </c>
      <c r="B536" s="384" t="s">
        <v>224</v>
      </c>
      <c r="C536" s="418" t="s">
        <v>48</v>
      </c>
      <c r="D536" s="262" t="s">
        <v>16</v>
      </c>
      <c r="E536" s="412">
        <f>E537</f>
        <v>1200</v>
      </c>
      <c r="F536" s="412">
        <f>F537</f>
        <v>3900</v>
      </c>
      <c r="G536" s="413">
        <f t="shared" si="52"/>
        <v>325</v>
      </c>
      <c r="H536" s="414">
        <v>100</v>
      </c>
      <c r="I536" s="412">
        <f>I537</f>
        <v>4300</v>
      </c>
      <c r="J536" s="412">
        <f>J537</f>
        <v>9885.9</v>
      </c>
      <c r="K536" s="413">
        <f t="shared" ref="K536" si="54">J536/I536*100</f>
        <v>229.90465116279069</v>
      </c>
      <c r="L536" s="414">
        <v>100</v>
      </c>
      <c r="M536" s="444"/>
    </row>
    <row r="537" spans="1:13" s="155" customFormat="1" x14ac:dyDescent="0.25">
      <c r="A537" s="492"/>
      <c r="B537" s="387" t="s">
        <v>19</v>
      </c>
      <c r="C537" s="419"/>
      <c r="D537" s="388"/>
      <c r="E537" s="422">
        <f>E539+E540</f>
        <v>1200</v>
      </c>
      <c r="F537" s="422">
        <f>F539+F540</f>
        <v>3900</v>
      </c>
      <c r="G537" s="423">
        <f t="shared" si="52"/>
        <v>325</v>
      </c>
      <c r="H537" s="417"/>
      <c r="I537" s="422">
        <f>I539+I540</f>
        <v>4300</v>
      </c>
      <c r="J537" s="422">
        <f>J539+J540</f>
        <v>9885.9</v>
      </c>
      <c r="K537" s="423">
        <f t="shared" ref="K537" si="55">J537/I537*100</f>
        <v>229.90465116279069</v>
      </c>
      <c r="L537" s="417"/>
      <c r="M537" s="447"/>
    </row>
    <row r="538" spans="1:13" x14ac:dyDescent="0.25">
      <c r="A538" s="492"/>
      <c r="B538" s="384" t="s">
        <v>155</v>
      </c>
      <c r="C538" s="418"/>
      <c r="D538" s="262"/>
      <c r="E538" s="424"/>
      <c r="F538" s="424"/>
      <c r="G538" s="425"/>
      <c r="H538" s="414"/>
      <c r="I538" s="414"/>
      <c r="J538" s="414"/>
      <c r="K538" s="414"/>
      <c r="L538" s="414"/>
      <c r="M538" s="444"/>
    </row>
    <row r="539" spans="1:13" ht="30" x14ac:dyDescent="0.25">
      <c r="A539" s="492"/>
      <c r="B539" s="384" t="s">
        <v>225</v>
      </c>
      <c r="C539" s="418"/>
      <c r="D539" s="262"/>
      <c r="E539" s="424">
        <v>1200</v>
      </c>
      <c r="F539" s="424">
        <v>3900</v>
      </c>
      <c r="G539" s="425">
        <f t="shared" si="52"/>
        <v>325</v>
      </c>
      <c r="H539" s="414"/>
      <c r="I539" s="424">
        <f>E539+'2016'!E400+'2017'!E397+'2018'!E408</f>
        <v>3900</v>
      </c>
      <c r="J539" s="424">
        <f>F539+'2016'!F400+'2017'!F397+'2018'!F406</f>
        <v>9885.9</v>
      </c>
      <c r="K539" s="425">
        <f t="shared" ref="K539" si="56">J539/I539*100</f>
        <v>253.48461538461541</v>
      </c>
      <c r="L539" s="414"/>
      <c r="M539" s="444"/>
    </row>
    <row r="540" spans="1:13" x14ac:dyDescent="0.25">
      <c r="A540" s="492"/>
      <c r="B540" s="384" t="s">
        <v>226</v>
      </c>
      <c r="C540" s="418"/>
      <c r="D540" s="484"/>
      <c r="E540" s="424"/>
      <c r="F540" s="424"/>
      <c r="G540" s="425"/>
      <c r="H540" s="414"/>
      <c r="I540" s="424">
        <f>'2016'!E401+'2017'!E398</f>
        <v>400</v>
      </c>
      <c r="J540" s="424">
        <f>'2016'!F401+'2017'!F398</f>
        <v>0</v>
      </c>
      <c r="K540" s="425"/>
      <c r="L540" s="414"/>
      <c r="M540" s="444"/>
    </row>
    <row r="541" spans="1:13" ht="150" x14ac:dyDescent="0.25">
      <c r="A541" s="492">
        <v>161</v>
      </c>
      <c r="B541" s="384" t="s">
        <v>489</v>
      </c>
      <c r="C541" s="418" t="s">
        <v>48</v>
      </c>
      <c r="D541" s="262" t="s">
        <v>16</v>
      </c>
      <c r="E541" s="412">
        <f>E542</f>
        <v>500</v>
      </c>
      <c r="F541" s="412">
        <f>F542</f>
        <v>0</v>
      </c>
      <c r="G541" s="413">
        <f t="shared" si="52"/>
        <v>0</v>
      </c>
      <c r="H541" s="414">
        <v>100</v>
      </c>
      <c r="I541" s="412">
        <f>I542</f>
        <v>3400</v>
      </c>
      <c r="J541" s="412">
        <f>J542</f>
        <v>930</v>
      </c>
      <c r="K541" s="413">
        <f t="shared" ref="K541:K544" si="57">J541/I541*100</f>
        <v>27.352941176470591</v>
      </c>
      <c r="L541" s="414">
        <v>100</v>
      </c>
      <c r="M541" s="445" t="s">
        <v>634</v>
      </c>
    </row>
    <row r="542" spans="1:13" s="155" customFormat="1" x14ac:dyDescent="0.25">
      <c r="A542" s="492"/>
      <c r="B542" s="387" t="s">
        <v>19</v>
      </c>
      <c r="C542" s="419"/>
      <c r="D542" s="388"/>
      <c r="E542" s="422">
        <f>E544+E545</f>
        <v>500</v>
      </c>
      <c r="F542" s="422">
        <f>F544+F545</f>
        <v>0</v>
      </c>
      <c r="G542" s="423">
        <f t="shared" ref="G542:G633" si="58">F542/E542*100</f>
        <v>0</v>
      </c>
      <c r="H542" s="417"/>
      <c r="I542" s="422">
        <f>I544+I545</f>
        <v>3400</v>
      </c>
      <c r="J542" s="422">
        <f>J544+J545</f>
        <v>930</v>
      </c>
      <c r="K542" s="423">
        <f t="shared" si="57"/>
        <v>27.352941176470591</v>
      </c>
      <c r="L542" s="417"/>
      <c r="M542" s="447"/>
    </row>
    <row r="543" spans="1:13" x14ac:dyDescent="0.25">
      <c r="A543" s="492"/>
      <c r="B543" s="384" t="s">
        <v>155</v>
      </c>
      <c r="C543" s="418"/>
      <c r="D543" s="262"/>
      <c r="E543" s="426"/>
      <c r="F543" s="424"/>
      <c r="G543" s="425"/>
      <c r="H543" s="414"/>
      <c r="I543" s="414"/>
      <c r="J543" s="414"/>
      <c r="K543" s="425"/>
      <c r="L543" s="414"/>
      <c r="M543" s="444"/>
    </row>
    <row r="544" spans="1:13" ht="30" x14ac:dyDescent="0.25">
      <c r="A544" s="492"/>
      <c r="B544" s="384" t="s">
        <v>225</v>
      </c>
      <c r="C544" s="418"/>
      <c r="D544" s="262"/>
      <c r="E544" s="424">
        <v>500</v>
      </c>
      <c r="F544" s="424"/>
      <c r="G544" s="425">
        <f t="shared" si="58"/>
        <v>0</v>
      </c>
      <c r="H544" s="414"/>
      <c r="I544" s="424">
        <f>E544+'2016'!E405+'2017'!E402+'2018'!E412</f>
        <v>2000</v>
      </c>
      <c r="J544" s="424">
        <f>F544+'2016'!F405+'2017'!F402+'2018'!F412</f>
        <v>930</v>
      </c>
      <c r="K544" s="425">
        <f t="shared" si="57"/>
        <v>46.5</v>
      </c>
      <c r="L544" s="414"/>
      <c r="M544" s="444"/>
    </row>
    <row r="545" spans="1:13" x14ac:dyDescent="0.25">
      <c r="A545" s="492"/>
      <c r="B545" s="384" t="s">
        <v>226</v>
      </c>
      <c r="C545" s="418"/>
      <c r="D545" s="484"/>
      <c r="E545" s="424"/>
      <c r="F545" s="424"/>
      <c r="G545" s="425"/>
      <c r="H545" s="414"/>
      <c r="I545" s="424">
        <f>'2016'!E406+'2017'!E403</f>
        <v>1400</v>
      </c>
      <c r="J545" s="424">
        <f>'2016'!F406+'2017'!F403</f>
        <v>0</v>
      </c>
      <c r="K545" s="414"/>
      <c r="L545" s="414"/>
      <c r="M545" s="444"/>
    </row>
    <row r="546" spans="1:13" ht="105" x14ac:dyDescent="0.25">
      <c r="A546" s="492">
        <v>162</v>
      </c>
      <c r="B546" s="384" t="s">
        <v>217</v>
      </c>
      <c r="C546" s="418" t="s">
        <v>48</v>
      </c>
      <c r="D546" s="262" t="s">
        <v>16</v>
      </c>
      <c r="E546" s="412">
        <f>E547</f>
        <v>200</v>
      </c>
      <c r="F546" s="412">
        <f>F547</f>
        <v>0</v>
      </c>
      <c r="G546" s="413">
        <f t="shared" si="58"/>
        <v>0</v>
      </c>
      <c r="H546" s="414">
        <v>100</v>
      </c>
      <c r="I546" s="412">
        <f>I547</f>
        <v>1200</v>
      </c>
      <c r="J546" s="412">
        <f>J547</f>
        <v>405.9</v>
      </c>
      <c r="K546" s="413">
        <f t="shared" ref="K546:K573" si="59">J546/I546*100</f>
        <v>33.825000000000003</v>
      </c>
      <c r="L546" s="414">
        <v>100</v>
      </c>
      <c r="M546" s="445" t="s">
        <v>491</v>
      </c>
    </row>
    <row r="547" spans="1:13" s="155" customFormat="1" x14ac:dyDescent="0.25">
      <c r="A547" s="492"/>
      <c r="B547" s="387" t="s">
        <v>19</v>
      </c>
      <c r="C547" s="419"/>
      <c r="D547" s="388"/>
      <c r="E547" s="422">
        <f>E549+E550</f>
        <v>200</v>
      </c>
      <c r="F547" s="422">
        <f>F549+F550</f>
        <v>0</v>
      </c>
      <c r="G547" s="423">
        <f t="shared" si="58"/>
        <v>0</v>
      </c>
      <c r="H547" s="417"/>
      <c r="I547" s="422">
        <f>I549+I550</f>
        <v>1200</v>
      </c>
      <c r="J547" s="422">
        <f>J549+J550</f>
        <v>405.9</v>
      </c>
      <c r="K547" s="423">
        <f t="shared" si="59"/>
        <v>33.825000000000003</v>
      </c>
      <c r="L547" s="417"/>
      <c r="M547" s="447"/>
    </row>
    <row r="548" spans="1:13" x14ac:dyDescent="0.25">
      <c r="A548" s="492"/>
      <c r="B548" s="384" t="s">
        <v>155</v>
      </c>
      <c r="C548" s="418"/>
      <c r="D548" s="262"/>
      <c r="E548" s="424"/>
      <c r="F548" s="424"/>
      <c r="G548" s="425"/>
      <c r="H548" s="414"/>
      <c r="I548" s="414"/>
      <c r="J548" s="414"/>
      <c r="K548" s="425"/>
      <c r="L548" s="414"/>
      <c r="M548" s="444"/>
    </row>
    <row r="549" spans="1:13" ht="30" x14ac:dyDescent="0.25">
      <c r="A549" s="492"/>
      <c r="B549" s="384" t="s">
        <v>225</v>
      </c>
      <c r="C549" s="418"/>
      <c r="D549" s="262"/>
      <c r="E549" s="424">
        <v>200</v>
      </c>
      <c r="F549" s="424"/>
      <c r="G549" s="425">
        <f t="shared" si="58"/>
        <v>0</v>
      </c>
      <c r="H549" s="414"/>
      <c r="I549" s="424">
        <f>'2019'!E549+'2016'!E410+'2017'!E407+'2018'!E416</f>
        <v>800</v>
      </c>
      <c r="J549" s="424">
        <f>'2019'!F549+'2016'!F410+'2017'!F407+'2018'!F416</f>
        <v>405.9</v>
      </c>
      <c r="K549" s="425">
        <f t="shared" si="59"/>
        <v>50.737500000000004</v>
      </c>
      <c r="L549" s="414"/>
      <c r="M549" s="444"/>
    </row>
    <row r="550" spans="1:13" x14ac:dyDescent="0.25">
      <c r="A550" s="492"/>
      <c r="B550" s="384" t="s">
        <v>226</v>
      </c>
      <c r="C550" s="418"/>
      <c r="D550" s="484"/>
      <c r="E550" s="424"/>
      <c r="F550" s="424"/>
      <c r="G550" s="425"/>
      <c r="H550" s="414"/>
      <c r="I550" s="424">
        <f>'2016'!E411+'2017'!E408</f>
        <v>400</v>
      </c>
      <c r="J550" s="424">
        <f>'2016'!F411+'2017'!F408</f>
        <v>0</v>
      </c>
      <c r="K550" s="414"/>
      <c r="L550" s="414"/>
      <c r="M550" s="444"/>
    </row>
    <row r="551" spans="1:13" ht="90" x14ac:dyDescent="0.25">
      <c r="A551" s="492">
        <v>163</v>
      </c>
      <c r="B551" s="384" t="s">
        <v>551</v>
      </c>
      <c r="C551" s="418" t="s">
        <v>48</v>
      </c>
      <c r="D551" s="484">
        <v>2017</v>
      </c>
      <c r="E551" s="424"/>
      <c r="F551" s="424"/>
      <c r="G551" s="425"/>
      <c r="H551" s="414"/>
      <c r="I551" s="412">
        <f>I552</f>
        <v>22500</v>
      </c>
      <c r="J551" s="412">
        <f>J552</f>
        <v>1600</v>
      </c>
      <c r="K551" s="413">
        <f t="shared" si="59"/>
        <v>7.1111111111111107</v>
      </c>
      <c r="L551" s="414">
        <v>100</v>
      </c>
      <c r="M551" s="444"/>
    </row>
    <row r="552" spans="1:13" x14ac:dyDescent="0.25">
      <c r="A552" s="492"/>
      <c r="B552" s="387" t="s">
        <v>19</v>
      </c>
      <c r="C552" s="418"/>
      <c r="D552" s="484"/>
      <c r="E552" s="424"/>
      <c r="F552" s="424"/>
      <c r="G552" s="425"/>
      <c r="H552" s="414"/>
      <c r="I552" s="422">
        <f>'2017'!E410</f>
        <v>22500</v>
      </c>
      <c r="J552" s="422">
        <f>'2017'!F410</f>
        <v>1600</v>
      </c>
      <c r="K552" s="416">
        <f t="shared" si="59"/>
        <v>7.1111111111111107</v>
      </c>
      <c r="L552" s="414"/>
      <c r="M552" s="444"/>
    </row>
    <row r="553" spans="1:13" ht="80.25" customHeight="1" x14ac:dyDescent="0.25">
      <c r="A553" s="492">
        <v>164</v>
      </c>
      <c r="B553" s="384" t="s">
        <v>219</v>
      </c>
      <c r="C553" s="418" t="s">
        <v>48</v>
      </c>
      <c r="D553" s="262" t="s">
        <v>16</v>
      </c>
      <c r="E553" s="412">
        <f>E554</f>
        <v>700</v>
      </c>
      <c r="F553" s="412">
        <f>F554</f>
        <v>0</v>
      </c>
      <c r="G553" s="413">
        <f t="shared" si="58"/>
        <v>0</v>
      </c>
      <c r="H553" s="414">
        <v>100</v>
      </c>
      <c r="I553" s="412">
        <f>I554+I558</f>
        <v>2800</v>
      </c>
      <c r="J553" s="412">
        <f>J554+J558</f>
        <v>625</v>
      </c>
      <c r="K553" s="416">
        <f t="shared" si="59"/>
        <v>22.321428571428573</v>
      </c>
      <c r="L553" s="414">
        <v>100</v>
      </c>
      <c r="M553" s="445" t="s">
        <v>635</v>
      </c>
    </row>
    <row r="554" spans="1:13" s="155" customFormat="1" x14ac:dyDescent="0.25">
      <c r="A554" s="492"/>
      <c r="B554" s="387" t="s">
        <v>19</v>
      </c>
      <c r="C554" s="419"/>
      <c r="D554" s="388"/>
      <c r="E554" s="422">
        <f>E556+E557</f>
        <v>700</v>
      </c>
      <c r="F554" s="422">
        <f>F556+F557</f>
        <v>0</v>
      </c>
      <c r="G554" s="423">
        <f t="shared" si="58"/>
        <v>0</v>
      </c>
      <c r="H554" s="417"/>
      <c r="I554" s="422">
        <f>I556+I557</f>
        <v>2800</v>
      </c>
      <c r="J554" s="422">
        <f>J556+J557</f>
        <v>325</v>
      </c>
      <c r="K554" s="416">
        <f t="shared" si="59"/>
        <v>11.607142857142858</v>
      </c>
      <c r="L554" s="417"/>
      <c r="M554" s="447"/>
    </row>
    <row r="555" spans="1:13" x14ac:dyDescent="0.25">
      <c r="A555" s="492"/>
      <c r="B555" s="384" t="s">
        <v>155</v>
      </c>
      <c r="C555" s="418"/>
      <c r="D555" s="262"/>
      <c r="E555" s="424"/>
      <c r="F555" s="424"/>
      <c r="G555" s="425"/>
      <c r="H555" s="414"/>
      <c r="I555" s="414"/>
      <c r="J555" s="414"/>
      <c r="K555" s="416"/>
      <c r="L555" s="414"/>
      <c r="M555" s="444"/>
    </row>
    <row r="556" spans="1:13" ht="30" x14ac:dyDescent="0.25">
      <c r="A556" s="492"/>
      <c r="B556" s="384" t="s">
        <v>225</v>
      </c>
      <c r="C556" s="418"/>
      <c r="D556" s="262"/>
      <c r="E556" s="424">
        <v>700</v>
      </c>
      <c r="F556" s="424">
        <v>0</v>
      </c>
      <c r="G556" s="425">
        <f t="shared" si="58"/>
        <v>0</v>
      </c>
      <c r="H556" s="414"/>
      <c r="I556" s="424">
        <f>E556+'2016'!E415+'2017'!E414+'2018'!E420</f>
        <v>2400</v>
      </c>
      <c r="J556" s="424">
        <f>F556+'2016'!F415+'2017'!F414+'2018'!F420</f>
        <v>325</v>
      </c>
      <c r="K556" s="423">
        <f t="shared" si="59"/>
        <v>13.541666666666666</v>
      </c>
      <c r="L556" s="414"/>
      <c r="M556" s="444"/>
    </row>
    <row r="557" spans="1:13" x14ac:dyDescent="0.25">
      <c r="A557" s="492"/>
      <c r="B557" s="384" t="s">
        <v>226</v>
      </c>
      <c r="C557" s="418"/>
      <c r="D557" s="484"/>
      <c r="E557" s="424"/>
      <c r="F557" s="424"/>
      <c r="G557" s="425"/>
      <c r="H557" s="414"/>
      <c r="I557" s="424">
        <f>'2016'!E416+'2017'!E415</f>
        <v>400</v>
      </c>
      <c r="J557" s="424">
        <f>'2016'!F416+'2017'!F415</f>
        <v>0</v>
      </c>
      <c r="K557" s="414"/>
      <c r="L557" s="414"/>
      <c r="M557" s="444"/>
    </row>
    <row r="558" spans="1:13" x14ac:dyDescent="0.25">
      <c r="A558" s="511"/>
      <c r="B558" s="387" t="s">
        <v>22</v>
      </c>
      <c r="C558" s="418"/>
      <c r="D558" s="511"/>
      <c r="E558" s="424"/>
      <c r="F558" s="424"/>
      <c r="G558" s="425"/>
      <c r="H558" s="414"/>
      <c r="I558" s="422">
        <f>I559</f>
        <v>0</v>
      </c>
      <c r="J558" s="422">
        <f>J559</f>
        <v>300</v>
      </c>
      <c r="K558" s="414"/>
      <c r="L558" s="414"/>
      <c r="M558" s="444"/>
    </row>
    <row r="559" spans="1:13" ht="30" x14ac:dyDescent="0.25">
      <c r="A559" s="511"/>
      <c r="B559" s="384" t="s">
        <v>225</v>
      </c>
      <c r="C559" s="418"/>
      <c r="D559" s="511"/>
      <c r="E559" s="424"/>
      <c r="F559" s="424"/>
      <c r="G559" s="425"/>
      <c r="H559" s="414"/>
      <c r="I559" s="412">
        <f>'2017'!E417</f>
        <v>0</v>
      </c>
      <c r="J559" s="412">
        <f>'2017'!F417</f>
        <v>300</v>
      </c>
      <c r="K559" s="414"/>
      <c r="L559" s="414"/>
      <c r="M559" s="444"/>
    </row>
    <row r="560" spans="1:13" ht="60" x14ac:dyDescent="0.25">
      <c r="A560" s="492">
        <v>165</v>
      </c>
      <c r="B560" s="384" t="s">
        <v>227</v>
      </c>
      <c r="C560" s="418" t="s">
        <v>48</v>
      </c>
      <c r="D560" s="262" t="s">
        <v>16</v>
      </c>
      <c r="E560" s="412">
        <f>E561</f>
        <v>400</v>
      </c>
      <c r="F560" s="412">
        <f>F561</f>
        <v>1258</v>
      </c>
      <c r="G560" s="413">
        <f t="shared" si="58"/>
        <v>314.5</v>
      </c>
      <c r="H560" s="414">
        <v>100</v>
      </c>
      <c r="I560" s="412">
        <f>I561</f>
        <v>1600</v>
      </c>
      <c r="J560" s="412">
        <f>J561</f>
        <v>2229.14</v>
      </c>
      <c r="K560" s="416">
        <f t="shared" si="59"/>
        <v>139.32124999999999</v>
      </c>
      <c r="L560" s="414">
        <v>100</v>
      </c>
      <c r="M560" s="444"/>
    </row>
    <row r="561" spans="1:13" s="155" customFormat="1" x14ac:dyDescent="0.25">
      <c r="A561" s="492"/>
      <c r="B561" s="387" t="s">
        <v>19</v>
      </c>
      <c r="C561" s="419"/>
      <c r="D561" s="388"/>
      <c r="E561" s="422">
        <v>400</v>
      </c>
      <c r="F561" s="422">
        <v>1258</v>
      </c>
      <c r="G561" s="423">
        <f t="shared" si="58"/>
        <v>314.5</v>
      </c>
      <c r="H561" s="417"/>
      <c r="I561" s="422">
        <f>E561+'2016'!E418+'2017'!E419+'2018'!E422</f>
        <v>1600</v>
      </c>
      <c r="J561" s="422">
        <f>F561+'2016'!F418+'2017'!F419+'2018'!F422</f>
        <v>2229.14</v>
      </c>
      <c r="K561" s="416">
        <f t="shared" si="59"/>
        <v>139.32124999999999</v>
      </c>
      <c r="L561" s="417"/>
      <c r="M561" s="447"/>
    </row>
    <row r="562" spans="1:13" ht="84" customHeight="1" x14ac:dyDescent="0.25">
      <c r="A562" s="492">
        <v>166</v>
      </c>
      <c r="B562" s="384" t="s">
        <v>228</v>
      </c>
      <c r="C562" s="418" t="s">
        <v>48</v>
      </c>
      <c r="D562" s="262" t="s">
        <v>16</v>
      </c>
      <c r="E562" s="412">
        <f>E563</f>
        <v>400</v>
      </c>
      <c r="F562" s="412">
        <f>F563</f>
        <v>400</v>
      </c>
      <c r="G562" s="413">
        <f t="shared" si="58"/>
        <v>100</v>
      </c>
      <c r="H562" s="414">
        <v>100</v>
      </c>
      <c r="I562" s="412">
        <f>I563</f>
        <v>1600</v>
      </c>
      <c r="J562" s="412">
        <f>J563</f>
        <v>1119</v>
      </c>
      <c r="K562" s="413">
        <f t="shared" si="59"/>
        <v>69.9375</v>
      </c>
      <c r="L562" s="414">
        <v>100</v>
      </c>
      <c r="M562" s="445"/>
    </row>
    <row r="563" spans="1:13" s="155" customFormat="1" x14ac:dyDescent="0.25">
      <c r="A563" s="492"/>
      <c r="B563" s="387" t="s">
        <v>19</v>
      </c>
      <c r="C563" s="419"/>
      <c r="D563" s="388"/>
      <c r="E563" s="422">
        <v>400</v>
      </c>
      <c r="F563" s="422">
        <v>400</v>
      </c>
      <c r="G563" s="423">
        <f t="shared" si="58"/>
        <v>100</v>
      </c>
      <c r="H563" s="417"/>
      <c r="I563" s="422">
        <f>E563+'2016'!E420+'2017'!E421+'2018'!E424</f>
        <v>1600</v>
      </c>
      <c r="J563" s="422">
        <f>F563+'2016'!F420+'2017'!F421+'2018'!F424</f>
        <v>1119</v>
      </c>
      <c r="K563" s="416">
        <f t="shared" si="59"/>
        <v>69.9375</v>
      </c>
      <c r="L563" s="417"/>
      <c r="M563" s="447"/>
    </row>
    <row r="564" spans="1:13" ht="75" x14ac:dyDescent="0.25">
      <c r="A564" s="492">
        <v>167</v>
      </c>
      <c r="B564" s="384" t="s">
        <v>229</v>
      </c>
      <c r="C564" s="418" t="s">
        <v>48</v>
      </c>
      <c r="D564" s="262" t="s">
        <v>16</v>
      </c>
      <c r="E564" s="412">
        <f>E565</f>
        <v>3000</v>
      </c>
      <c r="F564" s="412">
        <f>F565</f>
        <v>5300</v>
      </c>
      <c r="G564" s="413">
        <f t="shared" si="58"/>
        <v>176.66666666666666</v>
      </c>
      <c r="H564" s="414">
        <v>100</v>
      </c>
      <c r="I564" s="412">
        <f>I565</f>
        <v>9400</v>
      </c>
      <c r="J564" s="412">
        <f>J565</f>
        <v>9900</v>
      </c>
      <c r="K564" s="413">
        <f t="shared" si="59"/>
        <v>105.31914893617021</v>
      </c>
      <c r="L564" s="414">
        <v>100</v>
      </c>
      <c r="M564" s="444"/>
    </row>
    <row r="565" spans="1:13" s="155" customFormat="1" x14ac:dyDescent="0.25">
      <c r="A565" s="492"/>
      <c r="B565" s="387" t="s">
        <v>19</v>
      </c>
      <c r="C565" s="419"/>
      <c r="D565" s="388"/>
      <c r="E565" s="422">
        <v>3000</v>
      </c>
      <c r="F565" s="422">
        <v>5300</v>
      </c>
      <c r="G565" s="423">
        <f t="shared" si="58"/>
        <v>176.66666666666666</v>
      </c>
      <c r="H565" s="417"/>
      <c r="I565" s="422">
        <f>E565+'2016'!E422+'2017'!E423+'2018'!E426</f>
        <v>9400</v>
      </c>
      <c r="J565" s="422">
        <f>F565+'2016'!F422+'2017'!F423+'2018'!F426</f>
        <v>9900</v>
      </c>
      <c r="K565" s="416">
        <f t="shared" si="59"/>
        <v>105.31914893617021</v>
      </c>
      <c r="L565" s="417"/>
      <c r="M565" s="447"/>
    </row>
    <row r="566" spans="1:13" ht="45" x14ac:dyDescent="0.25">
      <c r="A566" s="492">
        <v>168</v>
      </c>
      <c r="B566" s="384" t="s">
        <v>230</v>
      </c>
      <c r="C566" s="418" t="s">
        <v>48</v>
      </c>
      <c r="D566" s="262" t="s">
        <v>16</v>
      </c>
      <c r="E566" s="412">
        <f>E567</f>
        <v>2400</v>
      </c>
      <c r="F566" s="412">
        <f>F567</f>
        <v>453</v>
      </c>
      <c r="G566" s="413">
        <f t="shared" si="58"/>
        <v>18.875</v>
      </c>
      <c r="H566" s="414">
        <v>100</v>
      </c>
      <c r="I566" s="412">
        <f>I567+I571</f>
        <v>7500</v>
      </c>
      <c r="J566" s="412">
        <f>J567+J571</f>
        <v>8167</v>
      </c>
      <c r="K566" s="416">
        <f t="shared" si="59"/>
        <v>108.89333333333333</v>
      </c>
      <c r="L566" s="414">
        <v>100</v>
      </c>
      <c r="M566" s="444"/>
    </row>
    <row r="567" spans="1:13" s="155" customFormat="1" x14ac:dyDescent="0.25">
      <c r="A567" s="492"/>
      <c r="B567" s="387" t="s">
        <v>19</v>
      </c>
      <c r="C567" s="419"/>
      <c r="D567" s="388"/>
      <c r="E567" s="422">
        <f>E569+E570</f>
        <v>2400</v>
      </c>
      <c r="F567" s="422">
        <f>F569+F570</f>
        <v>453</v>
      </c>
      <c r="G567" s="423">
        <f t="shared" si="58"/>
        <v>18.875</v>
      </c>
      <c r="H567" s="417"/>
      <c r="I567" s="422">
        <f>I569+I570</f>
        <v>7500</v>
      </c>
      <c r="J567" s="422">
        <f>J569+J570</f>
        <v>6067</v>
      </c>
      <c r="K567" s="416">
        <f t="shared" si="59"/>
        <v>80.893333333333331</v>
      </c>
      <c r="L567" s="417"/>
      <c r="M567" s="447"/>
    </row>
    <row r="568" spans="1:13" x14ac:dyDescent="0.25">
      <c r="A568" s="492"/>
      <c r="B568" s="384" t="s">
        <v>155</v>
      </c>
      <c r="C568" s="418"/>
      <c r="D568" s="262"/>
      <c r="E568" s="424"/>
      <c r="F568" s="424"/>
      <c r="G568" s="425"/>
      <c r="H568" s="414"/>
      <c r="I568" s="424"/>
      <c r="J568" s="424"/>
      <c r="K568" s="416"/>
      <c r="L568" s="414"/>
      <c r="M568" s="444"/>
    </row>
    <row r="569" spans="1:13" ht="30" x14ac:dyDescent="0.25">
      <c r="A569" s="492"/>
      <c r="B569" s="384" t="s">
        <v>225</v>
      </c>
      <c r="C569" s="418"/>
      <c r="D569" s="262"/>
      <c r="E569" s="424">
        <v>1300</v>
      </c>
      <c r="F569" s="424"/>
      <c r="G569" s="425">
        <f t="shared" si="58"/>
        <v>0</v>
      </c>
      <c r="H569" s="414"/>
      <c r="I569" s="424">
        <f>E569+'2016'!E426+'2017'!E428+'2018'!E430</f>
        <v>3700</v>
      </c>
      <c r="J569" s="424">
        <f>F569+'2016'!F426+'2017'!F428+'2018'!F430</f>
        <v>2500</v>
      </c>
      <c r="K569" s="423">
        <f t="shared" si="59"/>
        <v>67.567567567567565</v>
      </c>
      <c r="L569" s="414"/>
      <c r="M569" s="444"/>
    </row>
    <row r="570" spans="1:13" x14ac:dyDescent="0.25">
      <c r="A570" s="492"/>
      <c r="B570" s="384" t="s">
        <v>226</v>
      </c>
      <c r="C570" s="418"/>
      <c r="D570" s="262"/>
      <c r="E570" s="424">
        <v>1100</v>
      </c>
      <c r="F570" s="424">
        <v>453</v>
      </c>
      <c r="G570" s="425">
        <f t="shared" si="58"/>
        <v>41.18181818181818</v>
      </c>
      <c r="H570" s="414"/>
      <c r="I570" s="424">
        <f>E570+'2016'!E427+'2017'!E429+'2018'!E431</f>
        <v>3800</v>
      </c>
      <c r="J570" s="424">
        <f>F570+'2016'!F427+'2017'!F429+'2018'!F431</f>
        <v>3567</v>
      </c>
      <c r="K570" s="416">
        <f t="shared" si="59"/>
        <v>93.868421052631575</v>
      </c>
      <c r="L570" s="414"/>
      <c r="M570" s="444"/>
    </row>
    <row r="571" spans="1:13" x14ac:dyDescent="0.25">
      <c r="A571" s="511"/>
      <c r="B571" s="387" t="s">
        <v>22</v>
      </c>
      <c r="C571" s="418"/>
      <c r="D571" s="511"/>
      <c r="E571" s="424"/>
      <c r="F571" s="424"/>
      <c r="G571" s="425"/>
      <c r="H571" s="414"/>
      <c r="I571" s="422">
        <f>I572</f>
        <v>0</v>
      </c>
      <c r="J571" s="422">
        <f>J572</f>
        <v>2100</v>
      </c>
      <c r="K571" s="416"/>
      <c r="L571" s="414"/>
      <c r="M571" s="444"/>
    </row>
    <row r="572" spans="1:13" ht="30" x14ac:dyDescent="0.25">
      <c r="A572" s="511"/>
      <c r="B572" s="384" t="s">
        <v>225</v>
      </c>
      <c r="C572" s="418"/>
      <c r="D572" s="511"/>
      <c r="E572" s="424"/>
      <c r="F572" s="424"/>
      <c r="G572" s="425"/>
      <c r="H572" s="414"/>
      <c r="I572" s="424">
        <f>'2017'!E424</f>
        <v>0</v>
      </c>
      <c r="J572" s="424">
        <f>'2017'!F424</f>
        <v>2100</v>
      </c>
      <c r="K572" s="416"/>
      <c r="L572" s="414"/>
      <c r="M572" s="444"/>
    </row>
    <row r="573" spans="1:13" ht="60" x14ac:dyDescent="0.25">
      <c r="A573" s="492">
        <v>169</v>
      </c>
      <c r="B573" s="384" t="s">
        <v>231</v>
      </c>
      <c r="C573" s="418" t="s">
        <v>48</v>
      </c>
      <c r="D573" s="262" t="s">
        <v>16</v>
      </c>
      <c r="E573" s="412">
        <f>E574</f>
        <v>900</v>
      </c>
      <c r="F573" s="412">
        <f>F574</f>
        <v>1630</v>
      </c>
      <c r="G573" s="413">
        <f t="shared" si="58"/>
        <v>181.11111111111111</v>
      </c>
      <c r="H573" s="414">
        <v>100</v>
      </c>
      <c r="I573" s="412">
        <f>I574</f>
        <v>2700</v>
      </c>
      <c r="J573" s="412">
        <f>J574</f>
        <v>6321.6</v>
      </c>
      <c r="K573" s="413">
        <f t="shared" si="59"/>
        <v>234.13333333333335</v>
      </c>
      <c r="L573" s="414">
        <v>100</v>
      </c>
      <c r="M573" s="444"/>
    </row>
    <row r="574" spans="1:13" s="155" customFormat="1" x14ac:dyDescent="0.25">
      <c r="A574" s="492"/>
      <c r="B574" s="387" t="s">
        <v>19</v>
      </c>
      <c r="C574" s="419"/>
      <c r="D574" s="388"/>
      <c r="E574" s="422">
        <f>E576+E577</f>
        <v>900</v>
      </c>
      <c r="F574" s="422">
        <f>F576+F577</f>
        <v>1630</v>
      </c>
      <c r="G574" s="423">
        <f t="shared" si="58"/>
        <v>181.11111111111111</v>
      </c>
      <c r="H574" s="417"/>
      <c r="I574" s="422">
        <f>I576+I577</f>
        <v>2700</v>
      </c>
      <c r="J574" s="422">
        <f>J576+J577</f>
        <v>6321.6</v>
      </c>
      <c r="K574" s="423">
        <f t="shared" ref="K574" si="60">J574/I574*100</f>
        <v>234.13333333333335</v>
      </c>
      <c r="L574" s="417"/>
      <c r="M574" s="447"/>
    </row>
    <row r="575" spans="1:13" x14ac:dyDescent="0.25">
      <c r="A575" s="492"/>
      <c r="B575" s="384" t="s">
        <v>155</v>
      </c>
      <c r="C575" s="418"/>
      <c r="D575" s="262"/>
      <c r="E575" s="427"/>
      <c r="F575" s="427"/>
      <c r="G575" s="427"/>
      <c r="H575" s="414"/>
      <c r="I575" s="427"/>
      <c r="J575" s="427"/>
      <c r="K575" s="414"/>
      <c r="L575" s="414"/>
      <c r="M575" s="444"/>
    </row>
    <row r="576" spans="1:13" ht="30" x14ac:dyDescent="0.25">
      <c r="A576" s="492"/>
      <c r="B576" s="384" t="s">
        <v>225</v>
      </c>
      <c r="C576" s="418"/>
      <c r="D576" s="262"/>
      <c r="E576" s="428">
        <v>500</v>
      </c>
      <c r="F576" s="428">
        <v>1500</v>
      </c>
      <c r="G576" s="427"/>
      <c r="H576" s="414"/>
      <c r="I576" s="427">
        <f>E576+'2016'!E431+'2017'!E432+'2018'!E435</f>
        <v>1100</v>
      </c>
      <c r="J576" s="427">
        <f>F576+'2016'!F431+'2017'!F432+'2018'!F435</f>
        <v>1740</v>
      </c>
      <c r="K576" s="414"/>
      <c r="L576" s="414"/>
      <c r="M576" s="444"/>
    </row>
    <row r="577" spans="1:13" x14ac:dyDescent="0.25">
      <c r="A577" s="492"/>
      <c r="B577" s="384" t="s">
        <v>226</v>
      </c>
      <c r="C577" s="418"/>
      <c r="D577" s="262"/>
      <c r="E577" s="427">
        <v>400</v>
      </c>
      <c r="F577" s="427">
        <v>130</v>
      </c>
      <c r="G577" s="425"/>
      <c r="H577" s="414"/>
      <c r="I577" s="427">
        <f>E577+'2016'!E432+'2017'!E433+'2018'!E436</f>
        <v>1600</v>
      </c>
      <c r="J577" s="427">
        <f>F577+'2016'!F432+'2017'!F433+'2018'!F436</f>
        <v>4581.6000000000004</v>
      </c>
      <c r="K577" s="414"/>
      <c r="L577" s="414"/>
      <c r="M577" s="444"/>
    </row>
    <row r="578" spans="1:13" ht="120" x14ac:dyDescent="0.25">
      <c r="A578" s="492">
        <v>170</v>
      </c>
      <c r="B578" s="384" t="s">
        <v>237</v>
      </c>
      <c r="C578" s="418" t="s">
        <v>232</v>
      </c>
      <c r="D578" s="262" t="s">
        <v>16</v>
      </c>
      <c r="E578" s="412">
        <f>E579</f>
        <v>3318</v>
      </c>
      <c r="F578" s="412">
        <f>F579</f>
        <v>3318</v>
      </c>
      <c r="G578" s="413">
        <f t="shared" si="58"/>
        <v>100</v>
      </c>
      <c r="H578" s="414">
        <v>100</v>
      </c>
      <c r="I578" s="412">
        <f>I579</f>
        <v>15714.5</v>
      </c>
      <c r="J578" s="412">
        <f>J579</f>
        <v>15713.91</v>
      </c>
      <c r="K578" s="413">
        <f t="shared" ref="K578:K583" si="61">J578/I578*100</f>
        <v>99.996245505743104</v>
      </c>
      <c r="L578" s="414">
        <v>100</v>
      </c>
      <c r="M578" s="444"/>
    </row>
    <row r="579" spans="1:13" s="155" customFormat="1" x14ac:dyDescent="0.25">
      <c r="A579" s="492"/>
      <c r="B579" s="429" t="s">
        <v>13</v>
      </c>
      <c r="C579" s="419"/>
      <c r="D579" s="388"/>
      <c r="E579" s="422">
        <v>3318</v>
      </c>
      <c r="F579" s="422">
        <v>3318</v>
      </c>
      <c r="G579" s="423">
        <f t="shared" si="58"/>
        <v>100</v>
      </c>
      <c r="H579" s="417"/>
      <c r="I579" s="422">
        <f>E579+'2016'!E434+'2017'!E437+'2018'!E438</f>
        <v>15714.5</v>
      </c>
      <c r="J579" s="422">
        <f>F579+'2016'!F434+'2017'!F437+'2018'!F438</f>
        <v>15713.91</v>
      </c>
      <c r="K579" s="416">
        <f t="shared" si="61"/>
        <v>99.996245505743104</v>
      </c>
      <c r="L579" s="417"/>
      <c r="M579" s="447"/>
    </row>
    <row r="580" spans="1:13" ht="75" x14ac:dyDescent="0.25">
      <c r="A580" s="492">
        <v>171</v>
      </c>
      <c r="B580" s="384" t="s">
        <v>494</v>
      </c>
      <c r="C580" s="418" t="s">
        <v>232</v>
      </c>
      <c r="D580" s="262" t="s">
        <v>16</v>
      </c>
      <c r="E580" s="412">
        <f>E581</f>
        <v>500</v>
      </c>
      <c r="F580" s="412">
        <f>F581</f>
        <v>0</v>
      </c>
      <c r="G580" s="413">
        <f t="shared" si="58"/>
        <v>0</v>
      </c>
      <c r="H580" s="414">
        <v>100</v>
      </c>
      <c r="I580" s="412">
        <f>I581</f>
        <v>2000</v>
      </c>
      <c r="J580" s="412">
        <f>J581</f>
        <v>1500</v>
      </c>
      <c r="K580" s="413">
        <f t="shared" si="61"/>
        <v>75</v>
      </c>
      <c r="L580" s="414">
        <v>100</v>
      </c>
      <c r="M580" s="482"/>
    </row>
    <row r="581" spans="1:13" s="155" customFormat="1" x14ac:dyDescent="0.25">
      <c r="A581" s="492"/>
      <c r="B581" s="387" t="s">
        <v>19</v>
      </c>
      <c r="C581" s="419"/>
      <c r="D581" s="388"/>
      <c r="E581" s="422">
        <v>500</v>
      </c>
      <c r="F581" s="422"/>
      <c r="G581" s="423">
        <f t="shared" si="58"/>
        <v>0</v>
      </c>
      <c r="H581" s="417"/>
      <c r="I581" s="422">
        <f>E581+'2016'!E436+'2017'!E439+'2018'!E440</f>
        <v>2000</v>
      </c>
      <c r="J581" s="422">
        <f>F581+'2016'!F436+'2017'!F439+'2018'!F440</f>
        <v>1500</v>
      </c>
      <c r="K581" s="416">
        <f t="shared" si="61"/>
        <v>75</v>
      </c>
      <c r="L581" s="417"/>
      <c r="M581" s="447"/>
    </row>
    <row r="582" spans="1:13" ht="126.75" customHeight="1" x14ac:dyDescent="0.25">
      <c r="A582" s="492">
        <v>172</v>
      </c>
      <c r="B582" s="384" t="s">
        <v>238</v>
      </c>
      <c r="C582" s="418" t="s">
        <v>232</v>
      </c>
      <c r="D582" s="262" t="s">
        <v>16</v>
      </c>
      <c r="E582" s="412">
        <f>E583</f>
        <v>200</v>
      </c>
      <c r="F582" s="412">
        <f>F583</f>
        <v>0</v>
      </c>
      <c r="G582" s="413">
        <f t="shared" si="58"/>
        <v>0</v>
      </c>
      <c r="H582" s="414">
        <v>100</v>
      </c>
      <c r="I582" s="412">
        <f>I583</f>
        <v>800</v>
      </c>
      <c r="J582" s="412">
        <f>J583</f>
        <v>400</v>
      </c>
      <c r="K582" s="413">
        <f t="shared" si="61"/>
        <v>50</v>
      </c>
      <c r="L582" s="414">
        <v>100</v>
      </c>
      <c r="M582" s="482"/>
    </row>
    <row r="583" spans="1:13" s="155" customFormat="1" x14ac:dyDescent="0.25">
      <c r="A583" s="492"/>
      <c r="B583" s="387" t="s">
        <v>19</v>
      </c>
      <c r="C583" s="419"/>
      <c r="D583" s="388"/>
      <c r="E583" s="415">
        <v>200</v>
      </c>
      <c r="F583" s="412"/>
      <c r="G583" s="423">
        <f t="shared" si="58"/>
        <v>0</v>
      </c>
      <c r="H583" s="417"/>
      <c r="I583" s="415">
        <f>E583+'2016'!E438+'2017'!E441+'2018'!E442</f>
        <v>800</v>
      </c>
      <c r="J583" s="415">
        <f>F583+'2016'!F438+'2017'!F441+'2018'!F442</f>
        <v>400</v>
      </c>
      <c r="K583" s="416">
        <f t="shared" si="61"/>
        <v>50</v>
      </c>
      <c r="L583" s="417"/>
      <c r="M583" s="447"/>
    </row>
    <row r="584" spans="1:13" ht="105" x14ac:dyDescent="0.25">
      <c r="A584" s="492">
        <v>173</v>
      </c>
      <c r="B584" s="384" t="s">
        <v>495</v>
      </c>
      <c r="C584" s="418" t="s">
        <v>232</v>
      </c>
      <c r="D584" s="262" t="s">
        <v>16</v>
      </c>
      <c r="E584" s="412">
        <f>E585</f>
        <v>200</v>
      </c>
      <c r="F584" s="412">
        <f>F585</f>
        <v>0</v>
      </c>
      <c r="G584" s="413">
        <f t="shared" si="58"/>
        <v>0</v>
      </c>
      <c r="H584" s="414">
        <v>100</v>
      </c>
      <c r="I584" s="412">
        <f>I585</f>
        <v>800</v>
      </c>
      <c r="J584" s="412">
        <f>J585</f>
        <v>1144.3</v>
      </c>
      <c r="K584" s="413">
        <f t="shared" ref="K584:K594" si="62">J584/I584*100</f>
        <v>143.03749999999999</v>
      </c>
      <c r="L584" s="414">
        <v>100</v>
      </c>
      <c r="M584" s="444"/>
    </row>
    <row r="585" spans="1:13" s="155" customFormat="1" x14ac:dyDescent="0.25">
      <c r="A585" s="492"/>
      <c r="B585" s="387" t="s">
        <v>19</v>
      </c>
      <c r="C585" s="419"/>
      <c r="D585" s="388"/>
      <c r="E585" s="415">
        <v>200</v>
      </c>
      <c r="F585" s="412">
        <v>0</v>
      </c>
      <c r="G585" s="423">
        <f t="shared" si="58"/>
        <v>0</v>
      </c>
      <c r="H585" s="417"/>
      <c r="I585" s="415">
        <f>E585+'2016'!E440+'2017'!E443+'2018'!E444</f>
        <v>800</v>
      </c>
      <c r="J585" s="415">
        <f>F585+'2016'!F440+'2017'!F443+'2018'!F444</f>
        <v>1144.3</v>
      </c>
      <c r="K585" s="416">
        <f t="shared" si="62"/>
        <v>143.03749999999999</v>
      </c>
      <c r="L585" s="417"/>
      <c r="M585" s="447"/>
    </row>
    <row r="586" spans="1:13" s="155" customFormat="1" ht="75" x14ac:dyDescent="0.25">
      <c r="A586" s="492">
        <v>174</v>
      </c>
      <c r="B586" s="384" t="s">
        <v>630</v>
      </c>
      <c r="C586" s="418" t="s">
        <v>232</v>
      </c>
      <c r="D586" s="484" t="s">
        <v>575</v>
      </c>
      <c r="E586" s="412">
        <f>E587</f>
        <v>40</v>
      </c>
      <c r="F586" s="412">
        <f>F587</f>
        <v>39.96</v>
      </c>
      <c r="G586" s="413">
        <f t="shared" ref="G586:G589" si="63">F586/E586*100</f>
        <v>99.9</v>
      </c>
      <c r="H586" s="414">
        <v>100</v>
      </c>
      <c r="I586" s="412">
        <f>I587</f>
        <v>40</v>
      </c>
      <c r="J586" s="412">
        <f>J587</f>
        <v>39.96</v>
      </c>
      <c r="K586" s="413">
        <f t="shared" si="62"/>
        <v>99.9</v>
      </c>
      <c r="L586" s="414">
        <v>100</v>
      </c>
      <c r="M586" s="447"/>
    </row>
    <row r="587" spans="1:13" s="155" customFormat="1" x14ac:dyDescent="0.25">
      <c r="A587" s="492"/>
      <c r="B587" s="387" t="s">
        <v>13</v>
      </c>
      <c r="C587" s="419"/>
      <c r="D587" s="388"/>
      <c r="E587" s="415">
        <v>40</v>
      </c>
      <c r="F587" s="412">
        <v>39.96</v>
      </c>
      <c r="G587" s="423">
        <f t="shared" si="63"/>
        <v>99.9</v>
      </c>
      <c r="H587" s="417"/>
      <c r="I587" s="415">
        <f>E587</f>
        <v>40</v>
      </c>
      <c r="J587" s="415">
        <f>F587</f>
        <v>39.96</v>
      </c>
      <c r="K587" s="423">
        <f t="shared" si="62"/>
        <v>99.9</v>
      </c>
      <c r="L587" s="417"/>
      <c r="M587" s="447"/>
    </row>
    <row r="588" spans="1:13" s="155" customFormat="1" ht="78.75" x14ac:dyDescent="0.25">
      <c r="A588" s="492">
        <v>175</v>
      </c>
      <c r="B588" s="486" t="s">
        <v>632</v>
      </c>
      <c r="C588" s="418" t="s">
        <v>232</v>
      </c>
      <c r="D588" s="484" t="s">
        <v>631</v>
      </c>
      <c r="E588" s="412">
        <f>E589</f>
        <v>300</v>
      </c>
      <c r="F588" s="412">
        <f>F589</f>
        <v>288</v>
      </c>
      <c r="G588" s="413">
        <f t="shared" si="63"/>
        <v>96</v>
      </c>
      <c r="H588" s="414">
        <v>100</v>
      </c>
      <c r="I588" s="412">
        <f>I589</f>
        <v>2100</v>
      </c>
      <c r="J588" s="412">
        <f>J589</f>
        <v>2085.3000000000002</v>
      </c>
      <c r="K588" s="413">
        <f t="shared" si="62"/>
        <v>99.300000000000011</v>
      </c>
      <c r="L588" s="414">
        <v>100</v>
      </c>
      <c r="M588" s="447"/>
    </row>
    <row r="589" spans="1:13" s="155" customFormat="1" x14ac:dyDescent="0.25">
      <c r="A589" s="492"/>
      <c r="B589" s="387" t="s">
        <v>13</v>
      </c>
      <c r="C589" s="419"/>
      <c r="D589" s="388"/>
      <c r="E589" s="415">
        <v>300</v>
      </c>
      <c r="F589" s="412">
        <v>288</v>
      </c>
      <c r="G589" s="423">
        <f t="shared" si="63"/>
        <v>96</v>
      </c>
      <c r="H589" s="417"/>
      <c r="I589" s="415">
        <f>E589+'2016'!E442</f>
        <v>2100</v>
      </c>
      <c r="J589" s="415">
        <f>F589+'2016'!F442</f>
        <v>2085.3000000000002</v>
      </c>
      <c r="K589" s="423">
        <f t="shared" si="62"/>
        <v>99.300000000000011</v>
      </c>
      <c r="L589" s="417"/>
      <c r="M589" s="447"/>
    </row>
    <row r="590" spans="1:13" ht="75" x14ac:dyDescent="0.25">
      <c r="A590" s="492">
        <v>118</v>
      </c>
      <c r="B590" s="384" t="s">
        <v>235</v>
      </c>
      <c r="C590" s="418" t="s">
        <v>232</v>
      </c>
      <c r="D590" s="484" t="s">
        <v>16</v>
      </c>
      <c r="E590" s="412">
        <f>E591+E592</f>
        <v>1900</v>
      </c>
      <c r="F590" s="412">
        <f>F591+F592</f>
        <v>2872.33</v>
      </c>
      <c r="G590" s="413">
        <f t="shared" si="58"/>
        <v>151.17526315789473</v>
      </c>
      <c r="H590" s="414">
        <v>100</v>
      </c>
      <c r="I590" s="412">
        <f>I591+I592</f>
        <v>6000</v>
      </c>
      <c r="J590" s="412">
        <f>J591+J592</f>
        <v>8272.33</v>
      </c>
      <c r="K590" s="413">
        <f t="shared" si="62"/>
        <v>137.87216666666666</v>
      </c>
      <c r="L590" s="414">
        <v>100</v>
      </c>
      <c r="M590" s="444"/>
    </row>
    <row r="591" spans="1:13" s="155" customFormat="1" x14ac:dyDescent="0.25">
      <c r="A591" s="492"/>
      <c r="B591" s="387" t="s">
        <v>13</v>
      </c>
      <c r="C591" s="419"/>
      <c r="D591" s="388"/>
      <c r="E591" s="422">
        <v>1900</v>
      </c>
      <c r="F591" s="422">
        <v>1947</v>
      </c>
      <c r="G591" s="423">
        <f t="shared" si="58"/>
        <v>102.47368421052632</v>
      </c>
      <c r="H591" s="417"/>
      <c r="I591" s="412">
        <f>'2019'!E591+'2016'!E444+'2017'!E445+'2018'!E446</f>
        <v>6000</v>
      </c>
      <c r="J591" s="412">
        <f>'2019'!F591+'2016'!F444+'2017'!F445+'2018'!F446</f>
        <v>6047</v>
      </c>
      <c r="K591" s="423">
        <f t="shared" si="62"/>
        <v>100.78333333333333</v>
      </c>
      <c r="L591" s="417"/>
      <c r="M591" s="447"/>
    </row>
    <row r="592" spans="1:13" s="155" customFormat="1" x14ac:dyDescent="0.25">
      <c r="A592" s="492"/>
      <c r="B592" s="387" t="s">
        <v>19</v>
      </c>
      <c r="C592" s="419"/>
      <c r="D592" s="388"/>
      <c r="E592" s="422"/>
      <c r="F592" s="422">
        <v>925.33</v>
      </c>
      <c r="G592" s="423"/>
      <c r="H592" s="417"/>
      <c r="I592" s="412"/>
      <c r="J592" s="415">
        <f>F592+'2016'!F445</f>
        <v>2225.33</v>
      </c>
      <c r="K592" s="417"/>
      <c r="L592" s="417"/>
      <c r="M592" s="447"/>
    </row>
    <row r="593" spans="1:13" ht="65.25" customHeight="1" x14ac:dyDescent="0.25">
      <c r="A593" s="492">
        <v>176</v>
      </c>
      <c r="B593" s="384" t="s">
        <v>236</v>
      </c>
      <c r="C593" s="418" t="s">
        <v>232</v>
      </c>
      <c r="D593" s="262" t="s">
        <v>16</v>
      </c>
      <c r="E593" s="412">
        <f>E594+E595</f>
        <v>1900</v>
      </c>
      <c r="F593" s="412">
        <f>F594+F595</f>
        <v>3774.8</v>
      </c>
      <c r="G593" s="413">
        <f t="shared" si="58"/>
        <v>198.67368421052635</v>
      </c>
      <c r="H593" s="414">
        <v>100</v>
      </c>
      <c r="I593" s="412">
        <f>I594+I595</f>
        <v>6200</v>
      </c>
      <c r="J593" s="412">
        <f>J594+J595</f>
        <v>8073.97</v>
      </c>
      <c r="K593" s="413">
        <f t="shared" si="62"/>
        <v>130.22532258064516</v>
      </c>
      <c r="L593" s="414">
        <v>100</v>
      </c>
      <c r="M593" s="444"/>
    </row>
    <row r="594" spans="1:13" s="155" customFormat="1" x14ac:dyDescent="0.25">
      <c r="A594" s="492"/>
      <c r="B594" s="387" t="s">
        <v>13</v>
      </c>
      <c r="C594" s="419"/>
      <c r="D594" s="388"/>
      <c r="E594" s="415">
        <v>1900</v>
      </c>
      <c r="F594" s="415">
        <v>1865</v>
      </c>
      <c r="G594" s="423">
        <f t="shared" si="58"/>
        <v>98.15789473684211</v>
      </c>
      <c r="H594" s="417"/>
      <c r="I594" s="415">
        <f>E594+'2016'!E447+'2017'!E447+'2018'!E448</f>
        <v>6200</v>
      </c>
      <c r="J594" s="415">
        <f>F594+'2016'!F447+'2017'!F447+'2018'!F448</f>
        <v>6164.17</v>
      </c>
      <c r="K594" s="423">
        <f t="shared" si="62"/>
        <v>99.422096774193548</v>
      </c>
      <c r="L594" s="417"/>
      <c r="M594" s="447"/>
    </row>
    <row r="595" spans="1:13" s="155" customFormat="1" x14ac:dyDescent="0.25">
      <c r="A595" s="492"/>
      <c r="B595" s="387" t="s">
        <v>19</v>
      </c>
      <c r="C595" s="419"/>
      <c r="D595" s="388"/>
      <c r="E595" s="415"/>
      <c r="F595" s="415">
        <v>1909.8</v>
      </c>
      <c r="G595" s="423"/>
      <c r="H595" s="417"/>
      <c r="I595" s="415"/>
      <c r="J595" s="415">
        <f>F595</f>
        <v>1909.8</v>
      </c>
      <c r="K595" s="423"/>
      <c r="L595" s="417"/>
      <c r="M595" s="447"/>
    </row>
    <row r="596" spans="1:13" s="155" customFormat="1" ht="60" x14ac:dyDescent="0.25">
      <c r="A596" s="492">
        <v>177</v>
      </c>
      <c r="B596" s="384" t="s">
        <v>637</v>
      </c>
      <c r="C596" s="418" t="s">
        <v>50</v>
      </c>
      <c r="D596" s="484" t="s">
        <v>610</v>
      </c>
      <c r="E596" s="412">
        <f>E597</f>
        <v>5000</v>
      </c>
      <c r="F596" s="412">
        <f>F597</f>
        <v>5000</v>
      </c>
      <c r="G596" s="413">
        <f t="shared" si="58"/>
        <v>100</v>
      </c>
      <c r="H596" s="414">
        <v>100</v>
      </c>
      <c r="I596" s="412">
        <f>I597</f>
        <v>5000</v>
      </c>
      <c r="J596" s="412">
        <f>J597</f>
        <v>5000</v>
      </c>
      <c r="K596" s="413">
        <f t="shared" ref="K596:K601" si="64">J596/I596*100</f>
        <v>100</v>
      </c>
      <c r="L596" s="414">
        <v>100</v>
      </c>
      <c r="M596" s="447"/>
    </row>
    <row r="597" spans="1:13" s="155" customFormat="1" ht="24.75" customHeight="1" x14ac:dyDescent="0.25">
      <c r="A597" s="492"/>
      <c r="B597" s="387" t="s">
        <v>13</v>
      </c>
      <c r="C597" s="419"/>
      <c r="D597" s="388"/>
      <c r="E597" s="415">
        <v>5000</v>
      </c>
      <c r="F597" s="415">
        <v>5000</v>
      </c>
      <c r="G597" s="416">
        <f t="shared" si="58"/>
        <v>100</v>
      </c>
      <c r="H597" s="417"/>
      <c r="I597" s="415">
        <f>E597</f>
        <v>5000</v>
      </c>
      <c r="J597" s="415">
        <f>F597</f>
        <v>5000</v>
      </c>
      <c r="K597" s="416">
        <f t="shared" si="64"/>
        <v>100</v>
      </c>
      <c r="L597" s="414"/>
      <c r="M597" s="447"/>
    </row>
    <row r="598" spans="1:13" s="155" customFormat="1" x14ac:dyDescent="0.25">
      <c r="A598" s="492">
        <v>178</v>
      </c>
      <c r="B598" s="384" t="s">
        <v>638</v>
      </c>
      <c r="C598" s="418" t="s">
        <v>50</v>
      </c>
      <c r="D598" s="484" t="s">
        <v>610</v>
      </c>
      <c r="E598" s="412">
        <f>E599</f>
        <v>1000</v>
      </c>
      <c r="F598" s="412">
        <f>F599</f>
        <v>1000</v>
      </c>
      <c r="G598" s="413">
        <f t="shared" si="58"/>
        <v>100</v>
      </c>
      <c r="H598" s="414">
        <v>100</v>
      </c>
      <c r="I598" s="412">
        <f>I599</f>
        <v>1000</v>
      </c>
      <c r="J598" s="412">
        <f>J599</f>
        <v>1000</v>
      </c>
      <c r="K598" s="413">
        <f t="shared" si="64"/>
        <v>100</v>
      </c>
      <c r="L598" s="414">
        <v>100</v>
      </c>
      <c r="M598" s="447"/>
    </row>
    <row r="599" spans="1:13" s="155" customFormat="1" ht="27" customHeight="1" x14ac:dyDescent="0.25">
      <c r="A599" s="492"/>
      <c r="B599" s="387" t="s">
        <v>13</v>
      </c>
      <c r="C599" s="419"/>
      <c r="D599" s="388"/>
      <c r="E599" s="415">
        <v>1000</v>
      </c>
      <c r="F599" s="415">
        <v>1000</v>
      </c>
      <c r="G599" s="416">
        <f t="shared" si="58"/>
        <v>100</v>
      </c>
      <c r="H599" s="417"/>
      <c r="I599" s="415">
        <f>E599</f>
        <v>1000</v>
      </c>
      <c r="J599" s="415">
        <f>F599</f>
        <v>1000</v>
      </c>
      <c r="K599" s="416">
        <f t="shared" si="64"/>
        <v>100</v>
      </c>
      <c r="L599" s="417"/>
      <c r="M599" s="447"/>
    </row>
    <row r="600" spans="1:13" ht="45" x14ac:dyDescent="0.25">
      <c r="A600" s="492">
        <v>179</v>
      </c>
      <c r="B600" s="384" t="s">
        <v>496</v>
      </c>
      <c r="C600" s="418" t="s">
        <v>50</v>
      </c>
      <c r="D600" s="262" t="s">
        <v>482</v>
      </c>
      <c r="E600" s="412">
        <f>E601</f>
        <v>4000</v>
      </c>
      <c r="F600" s="412">
        <f>F601</f>
        <v>4000</v>
      </c>
      <c r="G600" s="428">
        <f t="shared" si="58"/>
        <v>100</v>
      </c>
      <c r="H600" s="414">
        <v>100</v>
      </c>
      <c r="I600" s="412">
        <f>I601</f>
        <v>7406</v>
      </c>
      <c r="J600" s="412">
        <f>J601</f>
        <v>7406</v>
      </c>
      <c r="K600" s="413">
        <f t="shared" si="64"/>
        <v>100</v>
      </c>
      <c r="L600" s="414">
        <v>100</v>
      </c>
      <c r="M600" s="444"/>
    </row>
    <row r="601" spans="1:13" s="155" customFormat="1" x14ac:dyDescent="0.25">
      <c r="A601" s="492"/>
      <c r="B601" s="387" t="s">
        <v>13</v>
      </c>
      <c r="C601" s="419"/>
      <c r="D601" s="388"/>
      <c r="E601" s="422">
        <v>4000</v>
      </c>
      <c r="F601" s="422">
        <v>4000</v>
      </c>
      <c r="G601" s="430">
        <f t="shared" si="58"/>
        <v>100</v>
      </c>
      <c r="H601" s="417"/>
      <c r="I601" s="415">
        <f>E601+'2018'!E450</f>
        <v>7406</v>
      </c>
      <c r="J601" s="415">
        <f>F601+'2018'!F450</f>
        <v>7406</v>
      </c>
      <c r="K601" s="416">
        <f t="shared" si="64"/>
        <v>100</v>
      </c>
      <c r="L601" s="417"/>
      <c r="M601" s="447"/>
    </row>
    <row r="602" spans="1:13" s="155" customFormat="1" ht="45" x14ac:dyDescent="0.25">
      <c r="A602" s="501">
        <v>180</v>
      </c>
      <c r="B602" s="384" t="s">
        <v>639</v>
      </c>
      <c r="C602" s="418" t="s">
        <v>50</v>
      </c>
      <c r="D602" s="501">
        <v>2019</v>
      </c>
      <c r="E602" s="412">
        <f>E603</f>
        <v>7500</v>
      </c>
      <c r="F602" s="412">
        <f>F603</f>
        <v>0</v>
      </c>
      <c r="G602" s="430"/>
      <c r="H602" s="417"/>
      <c r="I602" s="412">
        <f>I603</f>
        <v>7500</v>
      </c>
      <c r="J602" s="412">
        <f>J603</f>
        <v>0</v>
      </c>
      <c r="K602" s="416"/>
      <c r="L602" s="417"/>
      <c r="M602" s="384" t="s">
        <v>668</v>
      </c>
    </row>
    <row r="603" spans="1:13" s="155" customFormat="1" x14ac:dyDescent="0.25">
      <c r="A603" s="501"/>
      <c r="B603" s="387" t="s">
        <v>13</v>
      </c>
      <c r="C603" s="419"/>
      <c r="D603" s="388"/>
      <c r="E603" s="422">
        <v>7500</v>
      </c>
      <c r="F603" s="422">
        <v>0</v>
      </c>
      <c r="G603" s="430"/>
      <c r="H603" s="417"/>
      <c r="I603" s="422">
        <f>E603</f>
        <v>7500</v>
      </c>
      <c r="J603" s="422">
        <v>0</v>
      </c>
      <c r="K603" s="416"/>
      <c r="L603" s="417"/>
      <c r="M603" s="447"/>
    </row>
    <row r="604" spans="1:13" s="155" customFormat="1" ht="45" x14ac:dyDescent="0.25">
      <c r="A604" s="501">
        <v>181</v>
      </c>
      <c r="B604" s="384" t="s">
        <v>640</v>
      </c>
      <c r="C604" s="418" t="s">
        <v>50</v>
      </c>
      <c r="D604" s="501">
        <v>2019</v>
      </c>
      <c r="E604" s="412">
        <f>E605</f>
        <v>12500</v>
      </c>
      <c r="F604" s="412">
        <f>F605</f>
        <v>0</v>
      </c>
      <c r="G604" s="430"/>
      <c r="H604" s="417"/>
      <c r="I604" s="412">
        <f>I605</f>
        <v>12500</v>
      </c>
      <c r="J604" s="412">
        <f>J605</f>
        <v>0</v>
      </c>
      <c r="K604" s="416"/>
      <c r="L604" s="417"/>
      <c r="M604" s="384" t="s">
        <v>668</v>
      </c>
    </row>
    <row r="605" spans="1:13" s="155" customFormat="1" x14ac:dyDescent="0.25">
      <c r="A605" s="501"/>
      <c r="B605" s="387" t="s">
        <v>13</v>
      </c>
      <c r="C605" s="419"/>
      <c r="D605" s="388"/>
      <c r="E605" s="422">
        <v>12500</v>
      </c>
      <c r="F605" s="422">
        <v>0</v>
      </c>
      <c r="G605" s="430"/>
      <c r="H605" s="417"/>
      <c r="I605" s="422">
        <f>E605</f>
        <v>12500</v>
      </c>
      <c r="J605" s="422">
        <v>0</v>
      </c>
      <c r="K605" s="416"/>
      <c r="L605" s="417"/>
      <c r="M605" s="447"/>
    </row>
    <row r="606" spans="1:13" s="155" customFormat="1" ht="45" x14ac:dyDescent="0.25">
      <c r="A606" s="492">
        <v>182</v>
      </c>
      <c r="B606" s="384" t="s">
        <v>641</v>
      </c>
      <c r="C606" s="418" t="s">
        <v>50</v>
      </c>
      <c r="D606" s="487" t="s">
        <v>619</v>
      </c>
      <c r="E606" s="422"/>
      <c r="F606" s="422"/>
      <c r="G606" s="430"/>
      <c r="H606" s="417"/>
      <c r="I606" s="412">
        <f>I607</f>
        <v>7568</v>
      </c>
      <c r="J606" s="412">
        <f>J607</f>
        <v>7568</v>
      </c>
      <c r="K606" s="413">
        <f t="shared" ref="K606:K669" si="65">J606/I606*100</f>
        <v>100</v>
      </c>
      <c r="L606" s="414">
        <v>100</v>
      </c>
      <c r="M606" s="447"/>
    </row>
    <row r="607" spans="1:13" s="155" customFormat="1" x14ac:dyDescent="0.25">
      <c r="A607" s="492"/>
      <c r="B607" s="387" t="s">
        <v>13</v>
      </c>
      <c r="C607" s="419"/>
      <c r="D607" s="388"/>
      <c r="E607" s="422"/>
      <c r="F607" s="422"/>
      <c r="G607" s="430"/>
      <c r="H607" s="417"/>
      <c r="I607" s="415">
        <f>'2016'!E449+'2017'!E449</f>
        <v>7568</v>
      </c>
      <c r="J607" s="415">
        <f>'2016'!F449+'2017'!F449</f>
        <v>7568</v>
      </c>
      <c r="K607" s="416">
        <f t="shared" si="65"/>
        <v>100</v>
      </c>
      <c r="L607" s="417"/>
      <c r="M607" s="447"/>
    </row>
    <row r="608" spans="1:13" s="155" customFormat="1" ht="60" x14ac:dyDescent="0.25">
      <c r="A608" s="492">
        <v>183</v>
      </c>
      <c r="B608" s="384" t="s">
        <v>642</v>
      </c>
      <c r="C608" s="418" t="s">
        <v>50</v>
      </c>
      <c r="D608" s="487" t="s">
        <v>610</v>
      </c>
      <c r="E608" s="412">
        <f>E609</f>
        <v>5000</v>
      </c>
      <c r="F608" s="412">
        <f>F609</f>
        <v>5000</v>
      </c>
      <c r="G608" s="428">
        <f t="shared" si="58"/>
        <v>100</v>
      </c>
      <c r="H608" s="414">
        <v>100</v>
      </c>
      <c r="I608" s="412">
        <f>I609</f>
        <v>5000</v>
      </c>
      <c r="J608" s="412">
        <f>J609</f>
        <v>5000</v>
      </c>
      <c r="K608" s="413">
        <f t="shared" si="65"/>
        <v>100</v>
      </c>
      <c r="L608" s="414">
        <v>100</v>
      </c>
      <c r="M608" s="447"/>
    </row>
    <row r="609" spans="1:13" s="155" customFormat="1" x14ac:dyDescent="0.25">
      <c r="A609" s="492"/>
      <c r="B609" s="387" t="s">
        <v>13</v>
      </c>
      <c r="C609" s="419"/>
      <c r="D609" s="388"/>
      <c r="E609" s="422">
        <v>5000</v>
      </c>
      <c r="F609" s="422">
        <v>5000</v>
      </c>
      <c r="G609" s="430">
        <f t="shared" si="58"/>
        <v>100</v>
      </c>
      <c r="H609" s="417"/>
      <c r="I609" s="415">
        <f>F609</f>
        <v>5000</v>
      </c>
      <c r="J609" s="415">
        <f>F609</f>
        <v>5000</v>
      </c>
      <c r="K609" s="416">
        <f t="shared" si="65"/>
        <v>100</v>
      </c>
      <c r="L609" s="417"/>
      <c r="M609" s="447"/>
    </row>
    <row r="610" spans="1:13" s="155" customFormat="1" ht="75" x14ac:dyDescent="0.25">
      <c r="A610" s="492">
        <v>184</v>
      </c>
      <c r="B610" s="384" t="s">
        <v>643</v>
      </c>
      <c r="C610" s="418" t="s">
        <v>50</v>
      </c>
      <c r="D610" s="487" t="s">
        <v>610</v>
      </c>
      <c r="E610" s="412">
        <f>E611</f>
        <v>5000</v>
      </c>
      <c r="F610" s="412">
        <f>F611</f>
        <v>5000</v>
      </c>
      <c r="G610" s="428">
        <f t="shared" si="58"/>
        <v>100</v>
      </c>
      <c r="H610" s="414">
        <v>100</v>
      </c>
      <c r="I610" s="412">
        <f>I611</f>
        <v>5000</v>
      </c>
      <c r="J610" s="412">
        <f>J611</f>
        <v>5000</v>
      </c>
      <c r="K610" s="413">
        <f t="shared" si="65"/>
        <v>100</v>
      </c>
      <c r="L610" s="414">
        <v>100</v>
      </c>
      <c r="M610" s="447"/>
    </row>
    <row r="611" spans="1:13" s="155" customFormat="1" x14ac:dyDescent="0.25">
      <c r="A611" s="492"/>
      <c r="B611" s="387" t="s">
        <v>13</v>
      </c>
      <c r="C611" s="419"/>
      <c r="D611" s="388"/>
      <c r="E611" s="422">
        <v>5000</v>
      </c>
      <c r="F611" s="422">
        <v>5000</v>
      </c>
      <c r="G611" s="430">
        <f t="shared" si="58"/>
        <v>100</v>
      </c>
      <c r="H611" s="417"/>
      <c r="I611" s="415">
        <f>F611</f>
        <v>5000</v>
      </c>
      <c r="J611" s="415">
        <f>F611</f>
        <v>5000</v>
      </c>
      <c r="K611" s="416">
        <f t="shared" si="65"/>
        <v>100</v>
      </c>
      <c r="L611" s="417"/>
      <c r="M611" s="447"/>
    </row>
    <row r="612" spans="1:13" ht="93" customHeight="1" x14ac:dyDescent="0.25">
      <c r="A612" s="492">
        <v>185</v>
      </c>
      <c r="B612" s="384" t="s">
        <v>240</v>
      </c>
      <c r="C612" s="418" t="s">
        <v>197</v>
      </c>
      <c r="D612" s="262" t="s">
        <v>16</v>
      </c>
      <c r="E612" s="412">
        <f>E613</f>
        <v>300</v>
      </c>
      <c r="F612" s="412">
        <f>F613</f>
        <v>300</v>
      </c>
      <c r="G612" s="413">
        <f t="shared" si="58"/>
        <v>100</v>
      </c>
      <c r="H612" s="414">
        <v>100</v>
      </c>
      <c r="I612" s="412">
        <f>I613</f>
        <v>1200</v>
      </c>
      <c r="J612" s="412">
        <f>J613</f>
        <v>2500</v>
      </c>
      <c r="K612" s="413">
        <f t="shared" si="65"/>
        <v>208.33333333333334</v>
      </c>
      <c r="L612" s="414">
        <v>100</v>
      </c>
      <c r="M612" s="444"/>
    </row>
    <row r="613" spans="1:13" s="155" customFormat="1" x14ac:dyDescent="0.25">
      <c r="A613" s="492"/>
      <c r="B613" s="387" t="s">
        <v>19</v>
      </c>
      <c r="C613" s="419"/>
      <c r="D613" s="388"/>
      <c r="E613" s="422">
        <v>300</v>
      </c>
      <c r="F613" s="422">
        <v>300</v>
      </c>
      <c r="G613" s="423">
        <f t="shared" si="58"/>
        <v>100</v>
      </c>
      <c r="H613" s="417"/>
      <c r="I613" s="422">
        <f>E613+'2016'!E451+'2017'!E451+'2018'!E452</f>
        <v>1200</v>
      </c>
      <c r="J613" s="422">
        <f>F613+'2016'!F451+'2017'!F451+'2018'!F452</f>
        <v>2500</v>
      </c>
      <c r="K613" s="416">
        <f t="shared" si="65"/>
        <v>208.33333333333334</v>
      </c>
      <c r="L613" s="417"/>
      <c r="M613" s="447"/>
    </row>
    <row r="614" spans="1:13" ht="107.25" customHeight="1" x14ac:dyDescent="0.25">
      <c r="A614" s="492">
        <v>186</v>
      </c>
      <c r="B614" s="384" t="s">
        <v>241</v>
      </c>
      <c r="C614" s="418" t="s">
        <v>197</v>
      </c>
      <c r="D614" s="262" t="s">
        <v>16</v>
      </c>
      <c r="E614" s="412">
        <f>E615</f>
        <v>200</v>
      </c>
      <c r="F614" s="412">
        <f>F615</f>
        <v>200</v>
      </c>
      <c r="G614" s="413">
        <f t="shared" si="58"/>
        <v>100</v>
      </c>
      <c r="H614" s="414">
        <v>100</v>
      </c>
      <c r="I614" s="412">
        <f>I615</f>
        <v>1100</v>
      </c>
      <c r="J614" s="412">
        <f>J615</f>
        <v>1100</v>
      </c>
      <c r="K614" s="416">
        <f t="shared" si="65"/>
        <v>100</v>
      </c>
      <c r="L614" s="414">
        <v>100</v>
      </c>
      <c r="M614" s="444"/>
    </row>
    <row r="615" spans="1:13" s="155" customFormat="1" x14ac:dyDescent="0.25">
      <c r="A615" s="492"/>
      <c r="B615" s="387" t="s">
        <v>19</v>
      </c>
      <c r="C615" s="419"/>
      <c r="D615" s="388"/>
      <c r="E615" s="422">
        <v>200</v>
      </c>
      <c r="F615" s="422">
        <v>200</v>
      </c>
      <c r="G615" s="423">
        <f t="shared" si="58"/>
        <v>100</v>
      </c>
      <c r="H615" s="417"/>
      <c r="I615" s="422">
        <f>E615+'2016'!E453+'2017'!E453+'2018'!E454</f>
        <v>1100</v>
      </c>
      <c r="J615" s="422">
        <f>F615+'2016'!F453+'2017'!F453+'2018'!F454</f>
        <v>1100</v>
      </c>
      <c r="K615" s="416">
        <f t="shared" si="65"/>
        <v>100</v>
      </c>
      <c r="L615" s="417"/>
      <c r="M615" s="447"/>
    </row>
    <row r="616" spans="1:13" ht="90" x14ac:dyDescent="0.25">
      <c r="A616" s="492">
        <v>187</v>
      </c>
      <c r="B616" s="384" t="s">
        <v>242</v>
      </c>
      <c r="C616" s="418" t="s">
        <v>197</v>
      </c>
      <c r="D616" s="262" t="s">
        <v>16</v>
      </c>
      <c r="E616" s="412">
        <f>E617</f>
        <v>200</v>
      </c>
      <c r="F616" s="412">
        <f>F617</f>
        <v>200</v>
      </c>
      <c r="G616" s="413">
        <f t="shared" si="58"/>
        <v>100</v>
      </c>
      <c r="H616" s="414">
        <v>100</v>
      </c>
      <c r="I616" s="412">
        <f>I617</f>
        <v>800</v>
      </c>
      <c r="J616" s="412">
        <f>J617</f>
        <v>800</v>
      </c>
      <c r="K616" s="413">
        <f t="shared" si="65"/>
        <v>100</v>
      </c>
      <c r="L616" s="414">
        <v>100</v>
      </c>
      <c r="M616" s="444"/>
    </row>
    <row r="617" spans="1:13" s="155" customFormat="1" x14ac:dyDescent="0.25">
      <c r="A617" s="492"/>
      <c r="B617" s="387" t="s">
        <v>19</v>
      </c>
      <c r="C617" s="419"/>
      <c r="D617" s="388"/>
      <c r="E617" s="422">
        <v>200</v>
      </c>
      <c r="F617" s="422">
        <v>200</v>
      </c>
      <c r="G617" s="423">
        <f t="shared" si="58"/>
        <v>100</v>
      </c>
      <c r="H617" s="417"/>
      <c r="I617" s="422">
        <f>E617+'2016'!E455+'2017'!E455+'2018'!E456</f>
        <v>800</v>
      </c>
      <c r="J617" s="422">
        <f>F617+'2016'!F455+'2017'!F455+'2018'!F456</f>
        <v>800</v>
      </c>
      <c r="K617" s="416">
        <f t="shared" si="65"/>
        <v>100</v>
      </c>
      <c r="L617" s="417"/>
      <c r="M617" s="447"/>
    </row>
    <row r="618" spans="1:13" s="155" customFormat="1" ht="45" x14ac:dyDescent="0.25">
      <c r="A618" s="492">
        <v>188</v>
      </c>
      <c r="B618" s="384" t="s">
        <v>647</v>
      </c>
      <c r="C618" s="418" t="s">
        <v>197</v>
      </c>
      <c r="D618" s="490" t="s">
        <v>248</v>
      </c>
      <c r="E618" s="412">
        <f>E619</f>
        <v>500</v>
      </c>
      <c r="F618" s="412">
        <f>F619</f>
        <v>500</v>
      </c>
      <c r="G618" s="413">
        <f t="shared" si="58"/>
        <v>100</v>
      </c>
      <c r="H618" s="414">
        <v>100</v>
      </c>
      <c r="I618" s="412">
        <f>I619</f>
        <v>1000</v>
      </c>
      <c r="J618" s="412">
        <f>J619</f>
        <v>2000</v>
      </c>
      <c r="K618" s="413">
        <f t="shared" si="65"/>
        <v>200</v>
      </c>
      <c r="L618" s="414">
        <v>100</v>
      </c>
      <c r="M618" s="447"/>
    </row>
    <row r="619" spans="1:13" s="155" customFormat="1" x14ac:dyDescent="0.25">
      <c r="A619" s="492"/>
      <c r="B619" s="387" t="s">
        <v>19</v>
      </c>
      <c r="C619" s="419"/>
      <c r="D619" s="388"/>
      <c r="E619" s="422">
        <v>500</v>
      </c>
      <c r="F619" s="422">
        <v>500</v>
      </c>
      <c r="G619" s="423">
        <f t="shared" si="58"/>
        <v>100</v>
      </c>
      <c r="H619" s="417"/>
      <c r="I619" s="422">
        <f>E619+'2016'!E457+'2017'!E457</f>
        <v>1000</v>
      </c>
      <c r="J619" s="422">
        <f>F619+'2016'!F457+'2017'!F457</f>
        <v>2000</v>
      </c>
      <c r="K619" s="416">
        <f t="shared" si="65"/>
        <v>200</v>
      </c>
      <c r="L619" s="417"/>
      <c r="M619" s="447"/>
    </row>
    <row r="620" spans="1:13" s="155" customFormat="1" ht="45" x14ac:dyDescent="0.25">
      <c r="A620" s="492">
        <v>189</v>
      </c>
      <c r="B620" s="384" t="s">
        <v>648</v>
      </c>
      <c r="C620" s="418" t="s">
        <v>197</v>
      </c>
      <c r="D620" s="490" t="s">
        <v>248</v>
      </c>
      <c r="E620" s="412">
        <f>E621</f>
        <v>300</v>
      </c>
      <c r="F620" s="412">
        <f>F621</f>
        <v>300</v>
      </c>
      <c r="G620" s="413">
        <f t="shared" si="58"/>
        <v>100</v>
      </c>
      <c r="H620" s="414">
        <v>100</v>
      </c>
      <c r="I620" s="412">
        <f>I621</f>
        <v>600</v>
      </c>
      <c r="J620" s="412">
        <f>J621</f>
        <v>985</v>
      </c>
      <c r="K620" s="413">
        <f t="shared" si="65"/>
        <v>164.16666666666666</v>
      </c>
      <c r="L620" s="414">
        <v>100</v>
      </c>
      <c r="M620" s="447"/>
    </row>
    <row r="621" spans="1:13" s="155" customFormat="1" x14ac:dyDescent="0.25">
      <c r="A621" s="492"/>
      <c r="B621" s="387" t="s">
        <v>19</v>
      </c>
      <c r="C621" s="419"/>
      <c r="D621" s="388"/>
      <c r="E621" s="422">
        <v>300</v>
      </c>
      <c r="F621" s="422">
        <v>300</v>
      </c>
      <c r="G621" s="423">
        <f t="shared" si="58"/>
        <v>100</v>
      </c>
      <c r="H621" s="417"/>
      <c r="I621" s="422">
        <f>E621+'2016'!E459+'2017'!E459</f>
        <v>600</v>
      </c>
      <c r="J621" s="422">
        <f>F621+'2016'!F459+'2017'!F459</f>
        <v>985</v>
      </c>
      <c r="K621" s="416">
        <f t="shared" si="65"/>
        <v>164.16666666666666</v>
      </c>
      <c r="L621" s="417"/>
      <c r="M621" s="447"/>
    </row>
    <row r="622" spans="1:13" ht="60" x14ac:dyDescent="0.25">
      <c r="A622" s="492">
        <v>190</v>
      </c>
      <c r="B622" s="384" t="s">
        <v>245</v>
      </c>
      <c r="C622" s="418" t="s">
        <v>197</v>
      </c>
      <c r="D622" s="262" t="s">
        <v>16</v>
      </c>
      <c r="E622" s="412">
        <f>E623</f>
        <v>2500</v>
      </c>
      <c r="F622" s="412">
        <f>F623</f>
        <v>2500</v>
      </c>
      <c r="G622" s="413">
        <f t="shared" si="58"/>
        <v>100</v>
      </c>
      <c r="H622" s="414">
        <v>100</v>
      </c>
      <c r="I622" s="412">
        <f>I623</f>
        <v>8000</v>
      </c>
      <c r="J622" s="412">
        <f>J623</f>
        <v>57257</v>
      </c>
      <c r="K622" s="413">
        <f t="shared" si="65"/>
        <v>715.71249999999998</v>
      </c>
      <c r="L622" s="414">
        <v>100</v>
      </c>
      <c r="M622" s="444"/>
    </row>
    <row r="623" spans="1:13" s="155" customFormat="1" x14ac:dyDescent="0.25">
      <c r="A623" s="492"/>
      <c r="B623" s="387" t="s">
        <v>19</v>
      </c>
      <c r="C623" s="419"/>
      <c r="D623" s="388"/>
      <c r="E623" s="415">
        <v>2500</v>
      </c>
      <c r="F623" s="415">
        <v>2500</v>
      </c>
      <c r="G623" s="423">
        <f t="shared" si="58"/>
        <v>100</v>
      </c>
      <c r="H623" s="417"/>
      <c r="I623" s="415">
        <f>E623+'2016'!E461+'2017'!E461+'2018'!E458</f>
        <v>8000</v>
      </c>
      <c r="J623" s="415">
        <f>F623+'2016'!F461+'2017'!F461+'2018'!F458</f>
        <v>57257</v>
      </c>
      <c r="K623" s="416">
        <f t="shared" si="65"/>
        <v>715.71249999999998</v>
      </c>
      <c r="L623" s="417"/>
      <c r="M623" s="447"/>
    </row>
    <row r="624" spans="1:13" ht="50.25" customHeight="1" x14ac:dyDescent="0.25">
      <c r="A624" s="492">
        <v>191</v>
      </c>
      <c r="B624" s="384" t="s">
        <v>246</v>
      </c>
      <c r="C624" s="418" t="s">
        <v>197</v>
      </c>
      <c r="D624" s="262" t="s">
        <v>16</v>
      </c>
      <c r="E624" s="412">
        <f>E625</f>
        <v>1600</v>
      </c>
      <c r="F624" s="412">
        <f>F625</f>
        <v>1600</v>
      </c>
      <c r="G624" s="413">
        <f t="shared" si="58"/>
        <v>100</v>
      </c>
      <c r="H624" s="414">
        <v>100</v>
      </c>
      <c r="I624" s="412">
        <f>I625</f>
        <v>5200</v>
      </c>
      <c r="J624" s="412">
        <f>J625</f>
        <v>84100</v>
      </c>
      <c r="K624" s="413">
        <f t="shared" si="65"/>
        <v>1617.3076923076924</v>
      </c>
      <c r="L624" s="414">
        <v>100</v>
      </c>
      <c r="M624" s="444"/>
    </row>
    <row r="625" spans="1:13" s="155" customFormat="1" x14ac:dyDescent="0.25">
      <c r="A625" s="492"/>
      <c r="B625" s="387" t="s">
        <v>19</v>
      </c>
      <c r="C625" s="419"/>
      <c r="D625" s="388"/>
      <c r="E625" s="422">
        <v>1600</v>
      </c>
      <c r="F625" s="422">
        <v>1600</v>
      </c>
      <c r="G625" s="423">
        <f t="shared" si="58"/>
        <v>100</v>
      </c>
      <c r="H625" s="417"/>
      <c r="I625" s="415">
        <f>E625+'2016'!E463+'2017'!E463+'2018'!E460</f>
        <v>5200</v>
      </c>
      <c r="J625" s="415">
        <f>F625+'2016'!F463+'2017'!F463+'2018'!F460</f>
        <v>84100</v>
      </c>
      <c r="K625" s="416">
        <f t="shared" si="65"/>
        <v>1617.3076923076924</v>
      </c>
      <c r="L625" s="417"/>
      <c r="M625" s="447"/>
    </row>
    <row r="626" spans="1:13" ht="68.25" customHeight="1" x14ac:dyDescent="0.25">
      <c r="A626" s="492">
        <v>192</v>
      </c>
      <c r="B626" s="384" t="s">
        <v>247</v>
      </c>
      <c r="C626" s="418" t="s">
        <v>197</v>
      </c>
      <c r="D626" s="262" t="s">
        <v>16</v>
      </c>
      <c r="E626" s="412">
        <f>E627</f>
        <v>500</v>
      </c>
      <c r="F626" s="412">
        <f>F627</f>
        <v>500</v>
      </c>
      <c r="G626" s="413">
        <f t="shared" si="58"/>
        <v>100</v>
      </c>
      <c r="H626" s="414">
        <v>100</v>
      </c>
      <c r="I626" s="412">
        <f>I627</f>
        <v>2500</v>
      </c>
      <c r="J626" s="412">
        <f>J627</f>
        <v>6000</v>
      </c>
      <c r="K626" s="413">
        <f t="shared" si="65"/>
        <v>240</v>
      </c>
      <c r="L626" s="414">
        <v>100</v>
      </c>
      <c r="M626" s="444"/>
    </row>
    <row r="627" spans="1:13" s="155" customFormat="1" x14ac:dyDescent="0.25">
      <c r="A627" s="492"/>
      <c r="B627" s="387" t="s">
        <v>19</v>
      </c>
      <c r="C627" s="419"/>
      <c r="D627" s="388"/>
      <c r="E627" s="430">
        <v>500</v>
      </c>
      <c r="F627" s="415">
        <v>500</v>
      </c>
      <c r="G627" s="423">
        <f t="shared" si="58"/>
        <v>100</v>
      </c>
      <c r="H627" s="417"/>
      <c r="I627" s="415">
        <f>E627+'2016'!E465+'2017'!E465+'2018'!E462</f>
        <v>2500</v>
      </c>
      <c r="J627" s="415">
        <f>F627+'2016'!F465+'2017'!F465+'2018'!F462</f>
        <v>6000</v>
      </c>
      <c r="K627" s="416">
        <f t="shared" si="65"/>
        <v>240</v>
      </c>
      <c r="L627" s="417"/>
      <c r="M627" s="447"/>
    </row>
    <row r="628" spans="1:13" ht="96" customHeight="1" x14ac:dyDescent="0.25">
      <c r="A628" s="492">
        <v>193</v>
      </c>
      <c r="B628" s="384" t="s">
        <v>296</v>
      </c>
      <c r="C628" s="418" t="s">
        <v>204</v>
      </c>
      <c r="D628" s="262" t="s">
        <v>16</v>
      </c>
      <c r="E628" s="412">
        <f>E629</f>
        <v>500</v>
      </c>
      <c r="F628" s="412">
        <f>F629</f>
        <v>500</v>
      </c>
      <c r="G628" s="413">
        <f t="shared" si="58"/>
        <v>100</v>
      </c>
      <c r="H628" s="414">
        <v>100</v>
      </c>
      <c r="I628" s="412">
        <f>I629</f>
        <v>2000</v>
      </c>
      <c r="J628" s="412">
        <f>J629</f>
        <v>2000</v>
      </c>
      <c r="K628" s="413">
        <f t="shared" si="65"/>
        <v>100</v>
      </c>
      <c r="L628" s="414">
        <v>100</v>
      </c>
      <c r="M628" s="398"/>
    </row>
    <row r="629" spans="1:13" s="155" customFormat="1" x14ac:dyDescent="0.25">
      <c r="A629" s="492"/>
      <c r="B629" s="387" t="s">
        <v>19</v>
      </c>
      <c r="C629" s="419"/>
      <c r="D629" s="388"/>
      <c r="E629" s="422">
        <v>500</v>
      </c>
      <c r="F629" s="422">
        <v>500</v>
      </c>
      <c r="G629" s="423">
        <f t="shared" si="58"/>
        <v>100</v>
      </c>
      <c r="H629" s="417"/>
      <c r="I629" s="422">
        <f>E629+'2016'!E467+'2017'!E467+'2018'!E464</f>
        <v>2000</v>
      </c>
      <c r="J629" s="422">
        <f>F629+'2016'!F467+'2017'!F467+'2018'!F464</f>
        <v>2000</v>
      </c>
      <c r="K629" s="416">
        <f t="shared" si="65"/>
        <v>100</v>
      </c>
      <c r="L629" s="417"/>
      <c r="M629" s="429"/>
    </row>
    <row r="630" spans="1:13" ht="60" x14ac:dyDescent="0.25">
      <c r="A630" s="492">
        <v>194</v>
      </c>
      <c r="B630" s="384" t="s">
        <v>249</v>
      </c>
      <c r="C630" s="418" t="s">
        <v>204</v>
      </c>
      <c r="D630" s="262" t="s">
        <v>16</v>
      </c>
      <c r="E630" s="412">
        <f>E631</f>
        <v>500</v>
      </c>
      <c r="F630" s="412">
        <f>F631</f>
        <v>500</v>
      </c>
      <c r="G630" s="413">
        <f t="shared" si="58"/>
        <v>100</v>
      </c>
      <c r="H630" s="414">
        <v>100</v>
      </c>
      <c r="I630" s="412">
        <f>I631</f>
        <v>2000</v>
      </c>
      <c r="J630" s="412">
        <f>J631</f>
        <v>2000</v>
      </c>
      <c r="K630" s="413">
        <f t="shared" si="65"/>
        <v>100</v>
      </c>
      <c r="L630" s="414">
        <v>100</v>
      </c>
      <c r="M630" s="398"/>
    </row>
    <row r="631" spans="1:13" s="155" customFormat="1" x14ac:dyDescent="0.25">
      <c r="A631" s="492"/>
      <c r="B631" s="387" t="s">
        <v>19</v>
      </c>
      <c r="C631" s="419"/>
      <c r="D631" s="388"/>
      <c r="E631" s="422">
        <v>500</v>
      </c>
      <c r="F631" s="422">
        <v>500</v>
      </c>
      <c r="G631" s="423">
        <f t="shared" si="58"/>
        <v>100</v>
      </c>
      <c r="H631" s="417"/>
      <c r="I631" s="422">
        <f>E631+'2016'!E469+'2017'!E469+'2018'!E466</f>
        <v>2000</v>
      </c>
      <c r="J631" s="422">
        <f>F631+'2016'!F469+'2017'!F469+'2018'!F466</f>
        <v>2000</v>
      </c>
      <c r="K631" s="416">
        <f t="shared" si="65"/>
        <v>100</v>
      </c>
      <c r="L631" s="417"/>
      <c r="M631" s="429"/>
    </row>
    <row r="632" spans="1:13" ht="126.75" customHeight="1" x14ac:dyDescent="0.25">
      <c r="A632" s="492">
        <v>195</v>
      </c>
      <c r="B632" s="384" t="s">
        <v>250</v>
      </c>
      <c r="C632" s="418" t="s">
        <v>204</v>
      </c>
      <c r="D632" s="262" t="s">
        <v>16</v>
      </c>
      <c r="E632" s="412">
        <f>E633</f>
        <v>200</v>
      </c>
      <c r="F632" s="412">
        <f>F633</f>
        <v>200</v>
      </c>
      <c r="G632" s="413">
        <f t="shared" si="58"/>
        <v>100</v>
      </c>
      <c r="H632" s="414">
        <v>100</v>
      </c>
      <c r="I632" s="412">
        <f>I633</f>
        <v>800</v>
      </c>
      <c r="J632" s="412">
        <f>J633</f>
        <v>400</v>
      </c>
      <c r="K632" s="413">
        <f t="shared" si="65"/>
        <v>50</v>
      </c>
      <c r="L632" s="414">
        <v>40</v>
      </c>
      <c r="M632" s="398"/>
    </row>
    <row r="633" spans="1:13" s="155" customFormat="1" x14ac:dyDescent="0.25">
      <c r="A633" s="492"/>
      <c r="B633" s="387" t="s">
        <v>19</v>
      </c>
      <c r="C633" s="419"/>
      <c r="D633" s="388"/>
      <c r="E633" s="422">
        <v>200</v>
      </c>
      <c r="F633" s="422">
        <v>200</v>
      </c>
      <c r="G633" s="423">
        <f t="shared" si="58"/>
        <v>100</v>
      </c>
      <c r="H633" s="417"/>
      <c r="I633" s="422">
        <f>E633+'2016'!E471+'2017'!E471+'2018'!E468</f>
        <v>800</v>
      </c>
      <c r="J633" s="422">
        <f>F633+'2016'!F471+'2017'!F471+'2018'!F468</f>
        <v>400</v>
      </c>
      <c r="K633" s="416">
        <f t="shared" si="65"/>
        <v>50</v>
      </c>
      <c r="L633" s="417"/>
      <c r="M633" s="429"/>
    </row>
    <row r="634" spans="1:13" s="155" customFormat="1" ht="90" x14ac:dyDescent="0.25">
      <c r="A634" s="492">
        <v>196</v>
      </c>
      <c r="B634" s="384" t="s">
        <v>497</v>
      </c>
      <c r="C634" s="418" t="s">
        <v>204</v>
      </c>
      <c r="D634" s="262">
        <v>2018</v>
      </c>
      <c r="E634" s="412"/>
      <c r="F634" s="412"/>
      <c r="G634" s="423"/>
      <c r="H634" s="414"/>
      <c r="I634" s="412">
        <f>I635</f>
        <v>22500</v>
      </c>
      <c r="J634" s="412">
        <f>J635</f>
        <v>22500</v>
      </c>
      <c r="K634" s="413">
        <f t="shared" si="65"/>
        <v>100</v>
      </c>
      <c r="L634" s="414">
        <v>100</v>
      </c>
      <c r="M634" s="429"/>
    </row>
    <row r="635" spans="1:13" s="155" customFormat="1" x14ac:dyDescent="0.25">
      <c r="A635" s="492"/>
      <c r="B635" s="387" t="s">
        <v>19</v>
      </c>
      <c r="C635" s="419"/>
      <c r="D635" s="388"/>
      <c r="E635" s="415"/>
      <c r="F635" s="415"/>
      <c r="G635" s="423"/>
      <c r="H635" s="417"/>
      <c r="I635" s="422">
        <f>'2018'!E470</f>
        <v>22500</v>
      </c>
      <c r="J635" s="422">
        <f>'2018'!F470</f>
        <v>22500</v>
      </c>
      <c r="K635" s="416">
        <f t="shared" si="65"/>
        <v>100</v>
      </c>
      <c r="L635" s="417"/>
      <c r="M635" s="429"/>
    </row>
    <row r="636" spans="1:13" s="155" customFormat="1" ht="52.5" customHeight="1" x14ac:dyDescent="0.25">
      <c r="A636" s="492">
        <v>197</v>
      </c>
      <c r="B636" s="384" t="s">
        <v>414</v>
      </c>
      <c r="C636" s="418" t="s">
        <v>204</v>
      </c>
      <c r="D636" s="490">
        <v>2016</v>
      </c>
      <c r="E636" s="415"/>
      <c r="F636" s="415"/>
      <c r="G636" s="423"/>
      <c r="H636" s="417"/>
      <c r="I636" s="412">
        <f>I637+I638</f>
        <v>45000</v>
      </c>
      <c r="J636" s="412">
        <f>J637</f>
        <v>0</v>
      </c>
      <c r="K636" s="416">
        <f t="shared" si="65"/>
        <v>0</v>
      </c>
      <c r="L636" s="417"/>
      <c r="M636" s="500" t="s">
        <v>655</v>
      </c>
    </row>
    <row r="637" spans="1:13" s="155" customFormat="1" x14ac:dyDescent="0.25">
      <c r="A637" s="492"/>
      <c r="B637" s="387" t="s">
        <v>19</v>
      </c>
      <c r="C637" s="419"/>
      <c r="D637" s="388"/>
      <c r="E637" s="415"/>
      <c r="F637" s="415"/>
      <c r="G637" s="423"/>
      <c r="H637" s="417"/>
      <c r="I637" s="422">
        <f>'2016'!E473</f>
        <v>22500</v>
      </c>
      <c r="J637" s="422"/>
      <c r="K637" s="416">
        <f t="shared" si="65"/>
        <v>0</v>
      </c>
      <c r="L637" s="417"/>
      <c r="M637" s="429"/>
    </row>
    <row r="638" spans="1:13" s="155" customFormat="1" x14ac:dyDescent="0.25">
      <c r="A638" s="492"/>
      <c r="B638" s="387" t="s">
        <v>22</v>
      </c>
      <c r="C638" s="419"/>
      <c r="D638" s="388"/>
      <c r="E638" s="415"/>
      <c r="F638" s="415"/>
      <c r="G638" s="423"/>
      <c r="H638" s="417"/>
      <c r="I638" s="422">
        <f>'2016'!E474</f>
        <v>22500</v>
      </c>
      <c r="J638" s="422">
        <f>'2016'!F474</f>
        <v>0</v>
      </c>
      <c r="K638" s="416">
        <f t="shared" si="65"/>
        <v>0</v>
      </c>
      <c r="L638" s="417"/>
      <c r="M638" s="429"/>
    </row>
    <row r="639" spans="1:13" ht="46.5" customHeight="1" x14ac:dyDescent="0.25">
      <c r="A639" s="492">
        <v>198</v>
      </c>
      <c r="B639" s="384" t="s">
        <v>297</v>
      </c>
      <c r="C639" s="418" t="s">
        <v>204</v>
      </c>
      <c r="D639" s="262" t="s">
        <v>298</v>
      </c>
      <c r="E639" s="412"/>
      <c r="F639" s="412"/>
      <c r="G639" s="413"/>
      <c r="H639" s="414"/>
      <c r="I639" s="412">
        <f>I640+I641</f>
        <v>245000</v>
      </c>
      <c r="J639" s="412">
        <f>J640+J641</f>
        <v>219085.56</v>
      </c>
      <c r="K639" s="413">
        <f t="shared" si="65"/>
        <v>89.422677551020399</v>
      </c>
      <c r="L639" s="414">
        <v>100</v>
      </c>
      <c r="M639" s="418"/>
    </row>
    <row r="640" spans="1:13" s="155" customFormat="1" x14ac:dyDescent="0.25">
      <c r="A640" s="492"/>
      <c r="B640" s="387" t="s">
        <v>19</v>
      </c>
      <c r="C640" s="419"/>
      <c r="D640" s="388"/>
      <c r="E640" s="422"/>
      <c r="F640" s="422"/>
      <c r="G640" s="423"/>
      <c r="H640" s="417"/>
      <c r="I640" s="422">
        <f>'2017'!E473+'2018'!E472</f>
        <v>22500</v>
      </c>
      <c r="J640" s="415">
        <f>'2017'!F473+'2018'!F472</f>
        <v>9154.27</v>
      </c>
      <c r="K640" s="416">
        <f t="shared" si="65"/>
        <v>40.685644444444449</v>
      </c>
      <c r="L640" s="417"/>
      <c r="M640" s="429"/>
    </row>
    <row r="641" spans="1:13" s="155" customFormat="1" x14ac:dyDescent="0.25">
      <c r="A641" s="492"/>
      <c r="B641" s="387" t="s">
        <v>22</v>
      </c>
      <c r="C641" s="419"/>
      <c r="D641" s="388"/>
      <c r="E641" s="422"/>
      <c r="F641" s="422"/>
      <c r="G641" s="423"/>
      <c r="H641" s="417"/>
      <c r="I641" s="422">
        <f>'2017'!E474+'2018'!E473</f>
        <v>222500</v>
      </c>
      <c r="J641" s="422">
        <f>'2017'!F474+'2018'!F473+'2019'!F641</f>
        <v>209931.29</v>
      </c>
      <c r="K641" s="416">
        <f t="shared" si="65"/>
        <v>94.351141573033715</v>
      </c>
      <c r="L641" s="417"/>
      <c r="M641" s="429"/>
    </row>
    <row r="642" spans="1:13" ht="105" x14ac:dyDescent="0.25">
      <c r="A642" s="492">
        <v>199</v>
      </c>
      <c r="B642" s="384" t="s">
        <v>251</v>
      </c>
      <c r="C642" s="418" t="s">
        <v>204</v>
      </c>
      <c r="D642" s="262" t="s">
        <v>16</v>
      </c>
      <c r="E642" s="412">
        <f>E643</f>
        <v>300</v>
      </c>
      <c r="F642" s="412">
        <f>F643</f>
        <v>300</v>
      </c>
      <c r="G642" s="413">
        <f t="shared" ref="G642:G682" si="66">F642/E642*100</f>
        <v>100</v>
      </c>
      <c r="H642" s="414">
        <v>100</v>
      </c>
      <c r="I642" s="412">
        <f>I643</f>
        <v>1200</v>
      </c>
      <c r="J642" s="412">
        <f>J643</f>
        <v>1200</v>
      </c>
      <c r="K642" s="413">
        <f t="shared" si="65"/>
        <v>100</v>
      </c>
      <c r="L642" s="414">
        <v>100</v>
      </c>
      <c r="M642" s="398"/>
    </row>
    <row r="643" spans="1:13" s="155" customFormat="1" x14ac:dyDescent="0.25">
      <c r="A643" s="492"/>
      <c r="B643" s="387" t="s">
        <v>19</v>
      </c>
      <c r="C643" s="419"/>
      <c r="D643" s="388"/>
      <c r="E643" s="422">
        <v>300</v>
      </c>
      <c r="F643" s="415">
        <v>300</v>
      </c>
      <c r="G643" s="423">
        <f t="shared" si="66"/>
        <v>100</v>
      </c>
      <c r="H643" s="417"/>
      <c r="I643" s="422">
        <f>E643+'2016'!E476+'2017'!E476+'2018'!E475</f>
        <v>1200</v>
      </c>
      <c r="J643" s="415">
        <f>F643+'2016'!F476+'2017'!F476+'2018'!F475</f>
        <v>1200</v>
      </c>
      <c r="K643" s="416">
        <f t="shared" si="65"/>
        <v>100</v>
      </c>
      <c r="L643" s="417"/>
      <c r="M643" s="429"/>
    </row>
    <row r="644" spans="1:13" ht="69" customHeight="1" x14ac:dyDescent="0.25">
      <c r="A644" s="492">
        <v>200</v>
      </c>
      <c r="B644" s="384" t="s">
        <v>252</v>
      </c>
      <c r="C644" s="418" t="s">
        <v>204</v>
      </c>
      <c r="D644" s="262" t="s">
        <v>16</v>
      </c>
      <c r="E644" s="412">
        <f>E645</f>
        <v>400</v>
      </c>
      <c r="F644" s="412">
        <f>F645</f>
        <v>400</v>
      </c>
      <c r="G644" s="413">
        <f t="shared" si="66"/>
        <v>100</v>
      </c>
      <c r="H644" s="414">
        <v>100</v>
      </c>
      <c r="I644" s="412">
        <f>I645</f>
        <v>1600</v>
      </c>
      <c r="J644" s="412">
        <f>J645</f>
        <v>1600</v>
      </c>
      <c r="K644" s="413">
        <f t="shared" si="65"/>
        <v>100</v>
      </c>
      <c r="L644" s="414">
        <v>100</v>
      </c>
      <c r="M644" s="398"/>
    </row>
    <row r="645" spans="1:13" s="155" customFormat="1" x14ac:dyDescent="0.25">
      <c r="A645" s="492"/>
      <c r="B645" s="387" t="s">
        <v>19</v>
      </c>
      <c r="C645" s="419"/>
      <c r="D645" s="388"/>
      <c r="E645" s="422">
        <v>400</v>
      </c>
      <c r="F645" s="415">
        <v>400</v>
      </c>
      <c r="G645" s="423">
        <f t="shared" si="66"/>
        <v>100</v>
      </c>
      <c r="H645" s="417"/>
      <c r="I645" s="422">
        <f>E645+'2016'!E478+'2017'!E478+'2018'!E477</f>
        <v>1600</v>
      </c>
      <c r="J645" s="422">
        <f>F645+'2016'!F478+'2017'!F478+'2018'!F477</f>
        <v>1600</v>
      </c>
      <c r="K645" s="416">
        <f t="shared" si="65"/>
        <v>100</v>
      </c>
      <c r="L645" s="417"/>
      <c r="M645" s="429"/>
    </row>
    <row r="646" spans="1:13" s="155" customFormat="1" ht="45" x14ac:dyDescent="0.25">
      <c r="A646" s="492">
        <v>201</v>
      </c>
      <c r="B646" s="384" t="s">
        <v>656</v>
      </c>
      <c r="C646" s="418" t="s">
        <v>204</v>
      </c>
      <c r="D646" s="490" t="s">
        <v>575</v>
      </c>
      <c r="E646" s="412">
        <f>E647</f>
        <v>150</v>
      </c>
      <c r="F646" s="412">
        <f>F647</f>
        <v>146.05000000000001</v>
      </c>
      <c r="G646" s="413">
        <f t="shared" si="66"/>
        <v>97.366666666666674</v>
      </c>
      <c r="H646" s="414">
        <v>100</v>
      </c>
      <c r="I646" s="412">
        <f>I647</f>
        <v>150</v>
      </c>
      <c r="J646" s="412">
        <f>J647</f>
        <v>146.05000000000001</v>
      </c>
      <c r="K646" s="413">
        <f t="shared" si="65"/>
        <v>97.366666666666674</v>
      </c>
      <c r="L646" s="414">
        <v>100</v>
      </c>
      <c r="M646" s="429"/>
    </row>
    <row r="647" spans="1:13" s="155" customFormat="1" x14ac:dyDescent="0.25">
      <c r="A647" s="492"/>
      <c r="B647" s="387" t="s">
        <v>22</v>
      </c>
      <c r="C647" s="419"/>
      <c r="D647" s="388"/>
      <c r="E647" s="422">
        <v>150</v>
      </c>
      <c r="F647" s="415">
        <v>146.05000000000001</v>
      </c>
      <c r="G647" s="423">
        <f t="shared" si="66"/>
        <v>97.366666666666674</v>
      </c>
      <c r="H647" s="417"/>
      <c r="I647" s="422">
        <f>E647</f>
        <v>150</v>
      </c>
      <c r="J647" s="422">
        <f>F647</f>
        <v>146.05000000000001</v>
      </c>
      <c r="K647" s="416">
        <f t="shared" si="65"/>
        <v>97.366666666666674</v>
      </c>
      <c r="L647" s="417"/>
      <c r="M647" s="429"/>
    </row>
    <row r="648" spans="1:13" ht="78" customHeight="1" x14ac:dyDescent="0.25">
      <c r="A648" s="492">
        <v>202</v>
      </c>
      <c r="B648" s="384" t="s">
        <v>253</v>
      </c>
      <c r="C648" s="418" t="s">
        <v>204</v>
      </c>
      <c r="D648" s="262" t="s">
        <v>16</v>
      </c>
      <c r="E648" s="412">
        <f>E649</f>
        <v>300</v>
      </c>
      <c r="F648" s="412">
        <f>F649</f>
        <v>820.3</v>
      </c>
      <c r="G648" s="413">
        <f t="shared" si="66"/>
        <v>273.43333333333334</v>
      </c>
      <c r="H648" s="414">
        <v>100</v>
      </c>
      <c r="I648" s="412">
        <f>I649</f>
        <v>1200</v>
      </c>
      <c r="J648" s="412">
        <f>J649</f>
        <v>2264</v>
      </c>
      <c r="K648" s="413">
        <f t="shared" si="65"/>
        <v>188.66666666666669</v>
      </c>
      <c r="L648" s="414">
        <v>100</v>
      </c>
      <c r="M648" s="398"/>
    </row>
    <row r="649" spans="1:13" s="155" customFormat="1" x14ac:dyDescent="0.25">
      <c r="A649" s="492"/>
      <c r="B649" s="387" t="s">
        <v>19</v>
      </c>
      <c r="C649" s="419"/>
      <c r="D649" s="388"/>
      <c r="E649" s="422">
        <v>300</v>
      </c>
      <c r="F649" s="415">
        <v>820.3</v>
      </c>
      <c r="G649" s="423">
        <f t="shared" si="66"/>
        <v>273.43333333333334</v>
      </c>
      <c r="H649" s="417"/>
      <c r="I649" s="422">
        <f>E649+'2016'!E480+'2017'!E480+'2018'!E479</f>
        <v>1200</v>
      </c>
      <c r="J649" s="422">
        <f>F649+'2016'!F480+'2017'!F480+'2018'!F479</f>
        <v>2264</v>
      </c>
      <c r="K649" s="416">
        <f t="shared" si="65"/>
        <v>188.66666666666669</v>
      </c>
      <c r="L649" s="417"/>
      <c r="M649" s="429"/>
    </row>
    <row r="650" spans="1:13" s="155" customFormat="1" ht="60" x14ac:dyDescent="0.25">
      <c r="A650" s="492">
        <v>203</v>
      </c>
      <c r="B650" s="384" t="s">
        <v>657</v>
      </c>
      <c r="C650" s="418" t="s">
        <v>204</v>
      </c>
      <c r="D650" s="490" t="s">
        <v>575</v>
      </c>
      <c r="E650" s="412">
        <f>E651</f>
        <v>300</v>
      </c>
      <c r="F650" s="412">
        <f>F651</f>
        <v>297.44</v>
      </c>
      <c r="G650" s="413">
        <f t="shared" si="66"/>
        <v>99.146666666666661</v>
      </c>
      <c r="H650" s="414">
        <v>100</v>
      </c>
      <c r="I650" s="412">
        <f>I651</f>
        <v>300</v>
      </c>
      <c r="J650" s="412">
        <f>J651</f>
        <v>297.44</v>
      </c>
      <c r="K650" s="413">
        <f t="shared" si="65"/>
        <v>99.146666666666661</v>
      </c>
      <c r="L650" s="414">
        <v>100</v>
      </c>
      <c r="M650" s="429"/>
    </row>
    <row r="651" spans="1:13" s="155" customFormat="1" x14ac:dyDescent="0.25">
      <c r="A651" s="492"/>
      <c r="B651" s="387" t="s">
        <v>22</v>
      </c>
      <c r="C651" s="419"/>
      <c r="D651" s="388"/>
      <c r="E651" s="422">
        <v>300</v>
      </c>
      <c r="F651" s="415">
        <v>297.44</v>
      </c>
      <c r="G651" s="423">
        <f t="shared" si="66"/>
        <v>99.146666666666661</v>
      </c>
      <c r="H651" s="417"/>
      <c r="I651" s="422">
        <f>E651</f>
        <v>300</v>
      </c>
      <c r="J651" s="422">
        <f>F651</f>
        <v>297.44</v>
      </c>
      <c r="K651" s="416">
        <f t="shared" si="65"/>
        <v>99.146666666666661</v>
      </c>
      <c r="L651" s="417"/>
      <c r="M651" s="429"/>
    </row>
    <row r="652" spans="1:13" ht="52.5" customHeight="1" x14ac:dyDescent="0.25">
      <c r="A652" s="492">
        <v>204</v>
      </c>
      <c r="B652" s="384" t="s">
        <v>658</v>
      </c>
      <c r="C652" s="418" t="s">
        <v>204</v>
      </c>
      <c r="D652" s="262" t="s">
        <v>16</v>
      </c>
      <c r="E652" s="412">
        <f>E653+E654</f>
        <v>31700</v>
      </c>
      <c r="F652" s="412">
        <f>F653+F654</f>
        <v>65606.2</v>
      </c>
      <c r="G652" s="413">
        <f t="shared" si="66"/>
        <v>206.95962145110406</v>
      </c>
      <c r="H652" s="414">
        <v>100</v>
      </c>
      <c r="I652" s="412">
        <f>I653+I654</f>
        <v>93300</v>
      </c>
      <c r="J652" s="412">
        <f>J653+J654</f>
        <v>182091.62000000002</v>
      </c>
      <c r="K652" s="413">
        <f t="shared" si="65"/>
        <v>195.16786709539124</v>
      </c>
      <c r="L652" s="414">
        <v>100</v>
      </c>
      <c r="M652" s="398"/>
    </row>
    <row r="653" spans="1:13" s="155" customFormat="1" x14ac:dyDescent="0.25">
      <c r="A653" s="492"/>
      <c r="B653" s="387" t="s">
        <v>22</v>
      </c>
      <c r="C653" s="419"/>
      <c r="D653" s="388"/>
      <c r="E653" s="422">
        <v>20500</v>
      </c>
      <c r="F653" s="422">
        <v>20500.599999999999</v>
      </c>
      <c r="G653" s="423">
        <f t="shared" si="66"/>
        <v>100.00292682926828</v>
      </c>
      <c r="H653" s="417"/>
      <c r="I653" s="422">
        <v>50500</v>
      </c>
      <c r="J653" s="422">
        <v>47400.6</v>
      </c>
      <c r="K653" s="416">
        <f t="shared" si="65"/>
        <v>93.862574257425734</v>
      </c>
      <c r="L653" s="417"/>
      <c r="M653" s="429"/>
    </row>
    <row r="654" spans="1:13" s="155" customFormat="1" x14ac:dyDescent="0.25">
      <c r="A654" s="492"/>
      <c r="B654" s="387" t="s">
        <v>19</v>
      </c>
      <c r="C654" s="419"/>
      <c r="D654" s="388"/>
      <c r="E654" s="422">
        <v>11200</v>
      </c>
      <c r="F654" s="422">
        <v>45105.599999999999</v>
      </c>
      <c r="G654" s="423">
        <f t="shared" si="66"/>
        <v>402.7285714285714</v>
      </c>
      <c r="H654" s="417"/>
      <c r="I654" s="422">
        <v>42800</v>
      </c>
      <c r="J654" s="422">
        <f>F654+'2016'!F483+'2017'!F483+'2018'!F486</f>
        <v>134691.02000000002</v>
      </c>
      <c r="K654" s="416">
        <f t="shared" si="65"/>
        <v>314.6986448598131</v>
      </c>
      <c r="L654" s="417"/>
      <c r="M654" s="429"/>
    </row>
    <row r="655" spans="1:13" ht="53.25" customHeight="1" x14ac:dyDescent="0.25">
      <c r="A655" s="492">
        <v>205</v>
      </c>
      <c r="B655" s="384" t="s">
        <v>256</v>
      </c>
      <c r="C655" s="418" t="s">
        <v>204</v>
      </c>
      <c r="D655" s="262" t="s">
        <v>16</v>
      </c>
      <c r="E655" s="412">
        <f>E656+E659</f>
        <v>4200</v>
      </c>
      <c r="F655" s="412">
        <f>F656+F659</f>
        <v>4200</v>
      </c>
      <c r="G655" s="413">
        <f t="shared" si="66"/>
        <v>100</v>
      </c>
      <c r="H655" s="414">
        <v>100</v>
      </c>
      <c r="I655" s="412">
        <f>I656+I659</f>
        <v>17730</v>
      </c>
      <c r="J655" s="412">
        <f>J656+J659</f>
        <v>17192.22</v>
      </c>
      <c r="K655" s="413">
        <f t="shared" si="65"/>
        <v>96.966835871404413</v>
      </c>
      <c r="L655" s="414">
        <v>100</v>
      </c>
      <c r="M655" s="398"/>
    </row>
    <row r="656" spans="1:13" s="155" customFormat="1" x14ac:dyDescent="0.25">
      <c r="A656" s="492"/>
      <c r="B656" s="387" t="s">
        <v>19</v>
      </c>
      <c r="C656" s="431"/>
      <c r="D656" s="431"/>
      <c r="E656" s="415">
        <v>3500</v>
      </c>
      <c r="F656" s="415">
        <v>3500</v>
      </c>
      <c r="G656" s="423">
        <f t="shared" si="66"/>
        <v>100</v>
      </c>
      <c r="H656" s="417"/>
      <c r="I656" s="415">
        <f>E656+'2016'!E491+'2017'!E489+'2018'!E488</f>
        <v>12500</v>
      </c>
      <c r="J656" s="415">
        <f>F656+'2016'!F491+'2017'!F489+'2018'!F488</f>
        <v>12500</v>
      </c>
      <c r="K656" s="416">
        <f t="shared" si="65"/>
        <v>100</v>
      </c>
      <c r="L656" s="417"/>
      <c r="M656" s="429"/>
    </row>
    <row r="657" spans="1:13" s="155" customFormat="1" ht="30" x14ac:dyDescent="0.25">
      <c r="A657" s="492">
        <v>206</v>
      </c>
      <c r="B657" s="384" t="s">
        <v>659</v>
      </c>
      <c r="C657" s="418" t="s">
        <v>204</v>
      </c>
      <c r="D657" s="490" t="s">
        <v>575</v>
      </c>
      <c r="E657" s="412">
        <f>E658</f>
        <v>600</v>
      </c>
      <c r="F657" s="412">
        <f>F658</f>
        <v>600</v>
      </c>
      <c r="G657" s="413">
        <f t="shared" si="66"/>
        <v>100</v>
      </c>
      <c r="H657" s="414">
        <v>100</v>
      </c>
      <c r="I657" s="412">
        <f>I658+I661</f>
        <v>1880</v>
      </c>
      <c r="J657" s="412">
        <f>J658+J661</f>
        <v>1575.33</v>
      </c>
      <c r="K657" s="413">
        <f t="shared" si="65"/>
        <v>83.794148936170217</v>
      </c>
      <c r="L657" s="414">
        <v>100</v>
      </c>
      <c r="M657" s="429"/>
    </row>
    <row r="658" spans="1:13" s="155" customFormat="1" x14ac:dyDescent="0.25">
      <c r="A658" s="492"/>
      <c r="B658" s="387" t="s">
        <v>19</v>
      </c>
      <c r="C658" s="431"/>
      <c r="D658" s="431"/>
      <c r="E658" s="415">
        <v>600</v>
      </c>
      <c r="F658" s="415">
        <v>600</v>
      </c>
      <c r="G658" s="423">
        <f t="shared" si="66"/>
        <v>100</v>
      </c>
      <c r="H658" s="417"/>
      <c r="I658" s="415">
        <f>E658</f>
        <v>600</v>
      </c>
      <c r="J658" s="415">
        <f>F658</f>
        <v>600</v>
      </c>
      <c r="K658" s="416">
        <f t="shared" si="65"/>
        <v>100</v>
      </c>
      <c r="L658" s="417"/>
      <c r="M658" s="429"/>
    </row>
    <row r="659" spans="1:13" ht="67.5" customHeight="1" x14ac:dyDescent="0.25">
      <c r="A659" s="492">
        <v>207</v>
      </c>
      <c r="B659" s="384" t="s">
        <v>257</v>
      </c>
      <c r="C659" s="418" t="s">
        <v>204</v>
      </c>
      <c r="D659" s="262" t="s">
        <v>16</v>
      </c>
      <c r="E659" s="412">
        <f>E660</f>
        <v>700</v>
      </c>
      <c r="F659" s="412">
        <f>F660</f>
        <v>700</v>
      </c>
      <c r="G659" s="413">
        <f t="shared" si="66"/>
        <v>100</v>
      </c>
      <c r="H659" s="414">
        <v>100</v>
      </c>
      <c r="I659" s="412">
        <f>I660+I663</f>
        <v>5230</v>
      </c>
      <c r="J659" s="412">
        <f>J660+J663</f>
        <v>4692.22</v>
      </c>
      <c r="K659" s="413">
        <f t="shared" si="65"/>
        <v>89.717399617590829</v>
      </c>
      <c r="L659" s="414">
        <v>100</v>
      </c>
      <c r="M659" s="398"/>
    </row>
    <row r="660" spans="1:13" s="155" customFormat="1" x14ac:dyDescent="0.25">
      <c r="A660" s="492"/>
      <c r="B660" s="387" t="s">
        <v>19</v>
      </c>
      <c r="C660" s="431"/>
      <c r="D660" s="431"/>
      <c r="E660" s="422">
        <v>700</v>
      </c>
      <c r="F660" s="422">
        <v>700</v>
      </c>
      <c r="G660" s="423">
        <f t="shared" si="66"/>
        <v>100</v>
      </c>
      <c r="H660" s="417"/>
      <c r="I660" s="415">
        <f>E660+'2016'!E493+'2017'!E491+'2018'!E490</f>
        <v>2800</v>
      </c>
      <c r="J660" s="415">
        <f>F660+'2016'!F493+'2017'!F491+'2018'!F490</f>
        <v>2800</v>
      </c>
      <c r="K660" s="416">
        <f t="shared" si="65"/>
        <v>100</v>
      </c>
      <c r="L660" s="417"/>
      <c r="M660" s="429"/>
    </row>
    <row r="661" spans="1:13" ht="76.5" customHeight="1" x14ac:dyDescent="0.25">
      <c r="A661" s="492">
        <v>208</v>
      </c>
      <c r="B661" s="384" t="s">
        <v>258</v>
      </c>
      <c r="C661" s="418" t="s">
        <v>206</v>
      </c>
      <c r="D661" s="262" t="s">
        <v>16</v>
      </c>
      <c r="E661" s="412">
        <f>E662</f>
        <v>400</v>
      </c>
      <c r="F661" s="412">
        <f>F662</f>
        <v>397.32</v>
      </c>
      <c r="G661" s="413">
        <f t="shared" si="66"/>
        <v>99.33</v>
      </c>
      <c r="H661" s="414">
        <v>100</v>
      </c>
      <c r="I661" s="412">
        <f>I662</f>
        <v>1280</v>
      </c>
      <c r="J661" s="412">
        <f>J662</f>
        <v>975.32999999999993</v>
      </c>
      <c r="K661" s="413">
        <f t="shared" si="65"/>
        <v>76.197656249999994</v>
      </c>
      <c r="L661" s="414">
        <v>100</v>
      </c>
      <c r="M661" s="444"/>
    </row>
    <row r="662" spans="1:13" s="155" customFormat="1" x14ac:dyDescent="0.25">
      <c r="A662" s="492"/>
      <c r="B662" s="387" t="s">
        <v>22</v>
      </c>
      <c r="C662" s="431"/>
      <c r="D662" s="431"/>
      <c r="E662" s="422">
        <v>400</v>
      </c>
      <c r="F662" s="415">
        <v>397.32</v>
      </c>
      <c r="G662" s="423">
        <f t="shared" si="66"/>
        <v>99.33</v>
      </c>
      <c r="H662" s="417"/>
      <c r="I662" s="422">
        <f>E662+'2016'!E495+'2017'!E493+'2018'!E492</f>
        <v>1280</v>
      </c>
      <c r="J662" s="415">
        <f>F662+'2016'!F495+'2017'!F493+'2018'!F492</f>
        <v>975.32999999999993</v>
      </c>
      <c r="K662" s="416">
        <f t="shared" si="65"/>
        <v>76.197656249999994</v>
      </c>
      <c r="L662" s="417"/>
      <c r="M662" s="447"/>
    </row>
    <row r="663" spans="1:13" ht="84.75" customHeight="1" x14ac:dyDescent="0.25">
      <c r="A663" s="492">
        <v>209</v>
      </c>
      <c r="B663" s="384" t="s">
        <v>259</v>
      </c>
      <c r="C663" s="418" t="s">
        <v>206</v>
      </c>
      <c r="D663" s="262" t="s">
        <v>16</v>
      </c>
      <c r="E663" s="412">
        <f>E664</f>
        <v>700</v>
      </c>
      <c r="F663" s="412">
        <f>F664</f>
        <v>697.22</v>
      </c>
      <c r="G663" s="413">
        <f t="shared" si="66"/>
        <v>99.602857142857147</v>
      </c>
      <c r="H663" s="414">
        <v>100</v>
      </c>
      <c r="I663" s="412">
        <f>I664</f>
        <v>2430</v>
      </c>
      <c r="J663" s="412">
        <f>J664</f>
        <v>1892.22</v>
      </c>
      <c r="K663" s="413">
        <f t="shared" si="65"/>
        <v>77.869135802469131</v>
      </c>
      <c r="L663" s="414">
        <v>100</v>
      </c>
      <c r="M663" s="444"/>
    </row>
    <row r="664" spans="1:13" s="155" customFormat="1" x14ac:dyDescent="0.25">
      <c r="A664" s="492"/>
      <c r="B664" s="387" t="s">
        <v>22</v>
      </c>
      <c r="C664" s="431"/>
      <c r="D664" s="431"/>
      <c r="E664" s="422">
        <v>700</v>
      </c>
      <c r="F664" s="415">
        <v>697.22</v>
      </c>
      <c r="G664" s="423">
        <f t="shared" si="66"/>
        <v>99.602857142857147</v>
      </c>
      <c r="H664" s="417"/>
      <c r="I664" s="422">
        <f>E664+'2016'!E497+'2017'!E495+'2018'!E494</f>
        <v>2430</v>
      </c>
      <c r="J664" s="422">
        <f>F664+'2016'!F497+'2017'!F495+'2018'!F494</f>
        <v>1892.22</v>
      </c>
      <c r="K664" s="416">
        <f t="shared" si="65"/>
        <v>77.869135802469131</v>
      </c>
      <c r="L664" s="417"/>
      <c r="M664" s="447"/>
    </row>
    <row r="665" spans="1:13" s="155" customFormat="1" ht="60" x14ac:dyDescent="0.25">
      <c r="A665" s="492">
        <v>210</v>
      </c>
      <c r="B665" s="384" t="s">
        <v>552</v>
      </c>
      <c r="C665" s="418" t="s">
        <v>206</v>
      </c>
      <c r="D665" s="490">
        <v>2017.2019</v>
      </c>
      <c r="E665" s="412">
        <f>E666</f>
        <v>4800</v>
      </c>
      <c r="F665" s="412">
        <f>F666</f>
        <v>0</v>
      </c>
      <c r="G665" s="423"/>
      <c r="H665" s="417"/>
      <c r="I665" s="412">
        <f>I666</f>
        <v>6800</v>
      </c>
      <c r="J665" s="412">
        <f>J666</f>
        <v>2000</v>
      </c>
      <c r="K665" s="413">
        <f t="shared" si="65"/>
        <v>29.411764705882355</v>
      </c>
      <c r="L665" s="417"/>
      <c r="M665" s="384" t="s">
        <v>687</v>
      </c>
    </row>
    <row r="666" spans="1:13" s="155" customFormat="1" x14ac:dyDescent="0.25">
      <c r="A666" s="492"/>
      <c r="B666" s="387" t="s">
        <v>22</v>
      </c>
      <c r="C666" s="431"/>
      <c r="D666" s="431"/>
      <c r="E666" s="422">
        <v>4800</v>
      </c>
      <c r="F666" s="415"/>
      <c r="G666" s="423"/>
      <c r="H666" s="417"/>
      <c r="I666" s="422">
        <v>6800</v>
      </c>
      <c r="J666" s="422">
        <v>2000</v>
      </c>
      <c r="K666" s="416">
        <f t="shared" si="65"/>
        <v>29.411764705882355</v>
      </c>
      <c r="L666" s="417"/>
      <c r="M666" s="447"/>
    </row>
    <row r="667" spans="1:13" ht="69" customHeight="1" x14ac:dyDescent="0.25">
      <c r="A667" s="492">
        <v>211</v>
      </c>
      <c r="B667" s="384" t="s">
        <v>260</v>
      </c>
      <c r="C667" s="418" t="s">
        <v>206</v>
      </c>
      <c r="D667" s="262" t="s">
        <v>16</v>
      </c>
      <c r="E667" s="412">
        <f>E668</f>
        <v>3000</v>
      </c>
      <c r="F667" s="412">
        <f>F668</f>
        <v>3000</v>
      </c>
      <c r="G667" s="413">
        <f t="shared" si="66"/>
        <v>100</v>
      </c>
      <c r="H667" s="414">
        <v>100</v>
      </c>
      <c r="I667" s="412">
        <f>I668</f>
        <v>9400</v>
      </c>
      <c r="J667" s="412">
        <f>J668</f>
        <v>13327.310000000001</v>
      </c>
      <c r="K667" s="413">
        <f t="shared" si="65"/>
        <v>141.77989361702129</v>
      </c>
      <c r="L667" s="414">
        <v>100</v>
      </c>
      <c r="M667" s="444"/>
    </row>
    <row r="668" spans="1:13" s="155" customFormat="1" x14ac:dyDescent="0.25">
      <c r="A668" s="492"/>
      <c r="B668" s="387" t="s">
        <v>22</v>
      </c>
      <c r="C668" s="431"/>
      <c r="D668" s="431"/>
      <c r="E668" s="415">
        <v>3000</v>
      </c>
      <c r="F668" s="415">
        <v>3000</v>
      </c>
      <c r="G668" s="423">
        <f t="shared" si="66"/>
        <v>100</v>
      </c>
      <c r="H668" s="417"/>
      <c r="I668" s="415">
        <f>E668+'2016'!E499+'2017'!E497+'2018'!E496</f>
        <v>9400</v>
      </c>
      <c r="J668" s="415">
        <f>F668+'2016'!F499+'2017'!F497+'2018'!F496</f>
        <v>13327.310000000001</v>
      </c>
      <c r="K668" s="416">
        <f t="shared" si="65"/>
        <v>141.77989361702129</v>
      </c>
      <c r="L668" s="417"/>
      <c r="M668" s="447"/>
    </row>
    <row r="669" spans="1:13" ht="75" x14ac:dyDescent="0.25">
      <c r="A669" s="492">
        <v>212</v>
      </c>
      <c r="B669" s="384" t="s">
        <v>261</v>
      </c>
      <c r="C669" s="418" t="s">
        <v>206</v>
      </c>
      <c r="D669" s="262" t="s">
        <v>16</v>
      </c>
      <c r="E669" s="412">
        <f>E670</f>
        <v>1300</v>
      </c>
      <c r="F669" s="412">
        <v>1290.99</v>
      </c>
      <c r="G669" s="413">
        <f t="shared" si="66"/>
        <v>99.306923076923084</v>
      </c>
      <c r="H669" s="414">
        <v>100</v>
      </c>
      <c r="I669" s="412">
        <f>I670</f>
        <v>3700</v>
      </c>
      <c r="J669" s="412">
        <f>J670</f>
        <v>2944.6499999999996</v>
      </c>
      <c r="K669" s="413">
        <f t="shared" si="65"/>
        <v>79.585135135135118</v>
      </c>
      <c r="L669" s="414">
        <v>100</v>
      </c>
      <c r="M669" s="444"/>
    </row>
    <row r="670" spans="1:13" s="155" customFormat="1" x14ac:dyDescent="0.25">
      <c r="A670" s="492"/>
      <c r="B670" s="387" t="s">
        <v>22</v>
      </c>
      <c r="C670" s="431"/>
      <c r="D670" s="431"/>
      <c r="E670" s="415">
        <v>1300</v>
      </c>
      <c r="F670" s="415">
        <v>1290.99</v>
      </c>
      <c r="G670" s="423">
        <f t="shared" si="66"/>
        <v>99.306923076923084</v>
      </c>
      <c r="H670" s="417"/>
      <c r="I670" s="415">
        <f>E670+'2016'!E501+'2017'!E499+'2018'!E498</f>
        <v>3700</v>
      </c>
      <c r="J670" s="415">
        <f>F670+'2016'!F501+'2017'!F499+'2018'!F498</f>
        <v>2944.6499999999996</v>
      </c>
      <c r="K670" s="416">
        <f t="shared" ref="K670:K684" si="67">J670/I670*100</f>
        <v>79.585135135135118</v>
      </c>
      <c r="L670" s="417"/>
      <c r="M670" s="447"/>
    </row>
    <row r="671" spans="1:13" s="155" customFormat="1" ht="75" x14ac:dyDescent="0.25">
      <c r="A671" s="492">
        <v>213</v>
      </c>
      <c r="B671" s="384" t="s">
        <v>498</v>
      </c>
      <c r="C671" s="418" t="s">
        <v>206</v>
      </c>
      <c r="D671" s="262" t="s">
        <v>663</v>
      </c>
      <c r="E671" s="412">
        <f>E672</f>
        <v>500</v>
      </c>
      <c r="F671" s="412">
        <f>F672</f>
        <v>492</v>
      </c>
      <c r="G671" s="413">
        <f t="shared" si="66"/>
        <v>98.4</v>
      </c>
      <c r="H671" s="414">
        <v>100</v>
      </c>
      <c r="I671" s="412">
        <f>I672</f>
        <v>1100</v>
      </c>
      <c r="J671" s="412">
        <f>J672</f>
        <v>890.52</v>
      </c>
      <c r="K671" s="413">
        <f t="shared" si="67"/>
        <v>80.956363636363633</v>
      </c>
      <c r="L671" s="414">
        <v>100</v>
      </c>
      <c r="M671" s="447"/>
    </row>
    <row r="672" spans="1:13" s="155" customFormat="1" x14ac:dyDescent="0.25">
      <c r="A672" s="492"/>
      <c r="B672" s="387" t="s">
        <v>22</v>
      </c>
      <c r="C672" s="431"/>
      <c r="D672" s="431"/>
      <c r="E672" s="415">
        <v>500</v>
      </c>
      <c r="F672" s="415">
        <v>492</v>
      </c>
      <c r="G672" s="416">
        <f t="shared" si="66"/>
        <v>98.4</v>
      </c>
      <c r="H672" s="417"/>
      <c r="I672" s="415">
        <f>'2016'!E503+'2018'!E500+'2019'!E672</f>
        <v>1100</v>
      </c>
      <c r="J672" s="415">
        <f>'2016'!F503+'2018'!F500+'2019'!F672</f>
        <v>890.52</v>
      </c>
      <c r="K672" s="416">
        <f t="shared" si="67"/>
        <v>80.956363636363633</v>
      </c>
      <c r="L672" s="417"/>
      <c r="M672" s="447"/>
    </row>
    <row r="673" spans="1:13" ht="60" x14ac:dyDescent="0.25">
      <c r="A673" s="492">
        <v>214</v>
      </c>
      <c r="B673" s="384" t="s">
        <v>262</v>
      </c>
      <c r="C673" s="418" t="s">
        <v>208</v>
      </c>
      <c r="D673" s="262" t="s">
        <v>16</v>
      </c>
      <c r="E673" s="412">
        <f>E674</f>
        <v>40000</v>
      </c>
      <c r="F673" s="412">
        <f>F674</f>
        <v>39935.57</v>
      </c>
      <c r="G673" s="413">
        <f t="shared" si="66"/>
        <v>99.838925000000003</v>
      </c>
      <c r="H673" s="414">
        <v>100</v>
      </c>
      <c r="I673" s="412">
        <f>I674</f>
        <v>103000</v>
      </c>
      <c r="J673" s="412">
        <f>J674</f>
        <v>82926.66</v>
      </c>
      <c r="K673" s="413">
        <f t="shared" si="67"/>
        <v>80.511320388349517</v>
      </c>
      <c r="L673" s="414">
        <v>100</v>
      </c>
      <c r="M673" s="444"/>
    </row>
    <row r="674" spans="1:13" s="155" customFormat="1" ht="20.25" customHeight="1" x14ac:dyDescent="0.25">
      <c r="A674" s="492"/>
      <c r="B674" s="387" t="s">
        <v>22</v>
      </c>
      <c r="C674" s="419"/>
      <c r="D674" s="388"/>
      <c r="E674" s="415">
        <v>40000</v>
      </c>
      <c r="F674" s="415">
        <v>39935.57</v>
      </c>
      <c r="G674" s="423">
        <f t="shared" si="66"/>
        <v>99.838925000000003</v>
      </c>
      <c r="H674" s="417"/>
      <c r="I674" s="415">
        <f>E674+'2016'!E505+'2017'!E501+'2018'!E502</f>
        <v>103000</v>
      </c>
      <c r="J674" s="415">
        <f>F674+'2016'!F505+'2017'!F501+'2018'!F502</f>
        <v>82926.66</v>
      </c>
      <c r="K674" s="416">
        <f t="shared" si="67"/>
        <v>80.511320388349517</v>
      </c>
      <c r="L674" s="417"/>
      <c r="M674" s="447"/>
    </row>
    <row r="675" spans="1:13" x14ac:dyDescent="0.25">
      <c r="A675" s="492"/>
      <c r="B675" s="394" t="s">
        <v>54</v>
      </c>
      <c r="C675" s="418"/>
      <c r="D675" s="262"/>
      <c r="E675" s="432">
        <f>E676+E677+E678</f>
        <v>294908</v>
      </c>
      <c r="F675" s="432">
        <f>F676+F677+F678</f>
        <v>360279.89999999997</v>
      </c>
      <c r="G675" s="433">
        <f t="shared" si="66"/>
        <v>122.16687916231501</v>
      </c>
      <c r="H675" s="414"/>
      <c r="I675" s="432">
        <f>I676+I677+I678</f>
        <v>1269398</v>
      </c>
      <c r="J675" s="432">
        <f>J676+J677+J678</f>
        <v>1493188.6</v>
      </c>
      <c r="K675" s="421">
        <f t="shared" si="67"/>
        <v>117.62966382489968</v>
      </c>
      <c r="L675" s="414"/>
      <c r="M675" s="444"/>
    </row>
    <row r="676" spans="1:13" s="155" customFormat="1" x14ac:dyDescent="0.25">
      <c r="A676" s="492"/>
      <c r="B676" s="387" t="s">
        <v>13</v>
      </c>
      <c r="C676" s="419"/>
      <c r="D676" s="388"/>
      <c r="E676" s="422">
        <f>E492+E498+E504+E517+E533+E579+E587+E589+E591+E594+E597+E599+E601+E603+E605+E607+E609+E611</f>
        <v>87458</v>
      </c>
      <c r="F676" s="422">
        <f>F492+F498+F504+F517+F533+F579+F587+F589+F591+F594+F597+F599+F601+F603+F605+F607+F609+F611</f>
        <v>67400.679999999993</v>
      </c>
      <c r="G676" s="423">
        <f t="shared" si="66"/>
        <v>77.066340414827678</v>
      </c>
      <c r="H676" s="417"/>
      <c r="I676" s="422">
        <f>I492+I498+I504+I517+I533+I579+I587+I589+I591+I594+I597+I599+I601+I603+I605+I607+I609+I611</f>
        <v>166638</v>
      </c>
      <c r="J676" s="422">
        <f>J492+J498+J504+J517+J533+J579+J587+J589+J591+J594+J597+J599+J601+J603+J605+J607+J609+J611</f>
        <v>144793.29999999999</v>
      </c>
      <c r="K676" s="416">
        <f t="shared" si="67"/>
        <v>86.890925239141126</v>
      </c>
      <c r="L676" s="417"/>
      <c r="M676" s="447"/>
    </row>
    <row r="677" spans="1:13" s="155" customFormat="1" x14ac:dyDescent="0.25">
      <c r="A677" s="492"/>
      <c r="B677" s="387" t="s">
        <v>22</v>
      </c>
      <c r="C677" s="419"/>
      <c r="D677" s="388"/>
      <c r="E677" s="422">
        <f>E638+E641+E647+E651+E653+E662+E664+E666+E668+E670+E672+E674</f>
        <v>71650</v>
      </c>
      <c r="F677" s="422">
        <f>F638+F641+F647+F651+F653+F662+F664+F666+F668+F670+F672+F674</f>
        <v>66757.19</v>
      </c>
      <c r="G677" s="423">
        <f t="shared" si="66"/>
        <v>93.171235170970007</v>
      </c>
      <c r="H677" s="417"/>
      <c r="I677" s="422">
        <f>I558+I571+I638+I641+I647+I651+I653+I662+I664+I666+I668+I670+I672+I674</f>
        <v>423660</v>
      </c>
      <c r="J677" s="422">
        <f>J558+J571+J638+J641+J647+J651+J653+J662+J664+J666+J668+J670+J672+J674</f>
        <v>365132.07000000007</v>
      </c>
      <c r="K677" s="416">
        <f t="shared" si="67"/>
        <v>86.185164990794519</v>
      </c>
      <c r="L677" s="417"/>
      <c r="M677" s="447"/>
    </row>
    <row r="678" spans="1:13" s="155" customFormat="1" x14ac:dyDescent="0.25">
      <c r="A678" s="492"/>
      <c r="B678" s="387" t="s">
        <v>19</v>
      </c>
      <c r="C678" s="419"/>
      <c r="D678" s="388"/>
      <c r="E678" s="422">
        <f>E463+E469+E475+E481+E486+E505+E518+E527+E535+E537+E542+E547+E552+E554+E561+E565+E567+E574+E581+E583+E585+E592+E595+E613+E615+E617+E619+E621+E623+E625+E627+E629+E631+E633+E635+E637+E640+E643+E645+E649+E654+E656+E658+E660+E563</f>
        <v>135800</v>
      </c>
      <c r="F678" s="422">
        <f>F463+F469+F475+F481+F486+F505+F518+F527+F535+F537+F542+F547+F552+F554+F561+F565+F567+F574+F581+F583+F585+F592+F595+F613+F615+F617+F619+F621+F623+F625+F627+F629+F631+F633+F635+F637+F640+F643+F645+F649+F654+F656+F658+F660+F563</f>
        <v>226122.02999999997</v>
      </c>
      <c r="G678" s="423">
        <f t="shared" si="66"/>
        <v>166.51106774668628</v>
      </c>
      <c r="H678" s="417"/>
      <c r="I678" s="422">
        <f>I463+I469+I475+I481+I486+I505+I518+I527+I535+I537+I542+I547+I552+I554+I561+I565+I567+I574+I581+I583+I585+I592+I595+I613+I615+I617+I619+I621+I623+I625+I627+I629+I631+I633+I635+I637+I640+I643+I645+I649+I654+I656+I658+I660+I563</f>
        <v>679100</v>
      </c>
      <c r="J678" s="422">
        <f>J463+J469+J475+J481+J486+J505+J518+J527+J535+J537+J542+J547+J552+J554+J561+J565+J567+J574+J581+J583+J585+J592+J595+J613+J615+J617+J619+J621+J623+J625+J627+J629+J631+J633+J635+J637+J640+J643+J645+J649+J654+J656+J658+J660+J563</f>
        <v>983263.2300000001</v>
      </c>
      <c r="K678" s="416">
        <f t="shared" si="67"/>
        <v>144.78916654395525</v>
      </c>
      <c r="L678" s="417"/>
      <c r="M678" s="447"/>
    </row>
    <row r="679" spans="1:13" s="155" customFormat="1" ht="24" customHeight="1" x14ac:dyDescent="0.25">
      <c r="A679" s="510"/>
      <c r="B679" s="387" t="s">
        <v>139</v>
      </c>
      <c r="C679" s="419"/>
      <c r="D679" s="388"/>
      <c r="E679" s="422"/>
      <c r="F679" s="422"/>
      <c r="G679" s="423"/>
      <c r="H679" s="417"/>
      <c r="I679" s="422"/>
      <c r="J679" s="422"/>
      <c r="K679" s="416"/>
      <c r="L679" s="417"/>
      <c r="M679" s="447"/>
    </row>
    <row r="680" spans="1:13" s="155" customFormat="1" x14ac:dyDescent="0.25">
      <c r="A680" s="510"/>
      <c r="B680" s="387"/>
      <c r="C680" s="419"/>
      <c r="D680" s="388"/>
      <c r="E680" s="422"/>
      <c r="F680" s="422"/>
      <c r="G680" s="423"/>
      <c r="H680" s="417"/>
      <c r="I680" s="422"/>
      <c r="J680" s="422"/>
      <c r="K680" s="416"/>
      <c r="L680" s="417"/>
      <c r="M680" s="447"/>
    </row>
    <row r="681" spans="1:13" x14ac:dyDescent="0.25">
      <c r="A681" s="492"/>
      <c r="B681" s="394" t="s">
        <v>73</v>
      </c>
      <c r="C681" s="418"/>
      <c r="D681" s="262"/>
      <c r="E681" s="432">
        <f>E682+E683+E684</f>
        <v>5194898.2000000011</v>
      </c>
      <c r="F681" s="432">
        <f>F682+F683+F684</f>
        <v>5213724.7799999993</v>
      </c>
      <c r="G681" s="433">
        <f t="shared" si="66"/>
        <v>100.36240517667889</v>
      </c>
      <c r="H681" s="414"/>
      <c r="I681" s="432">
        <f>I682+I683+I684+I685</f>
        <v>18938326</v>
      </c>
      <c r="J681" s="432">
        <f>J682+J683+J684+J685</f>
        <v>19833738.59</v>
      </c>
      <c r="K681" s="421">
        <f t="shared" si="67"/>
        <v>104.72804507642333</v>
      </c>
      <c r="L681" s="414"/>
      <c r="M681" s="444"/>
    </row>
    <row r="682" spans="1:13" s="155" customFormat="1" x14ac:dyDescent="0.25">
      <c r="A682" s="492"/>
      <c r="B682" s="387" t="s">
        <v>13</v>
      </c>
      <c r="C682" s="419"/>
      <c r="D682" s="388"/>
      <c r="E682" s="422">
        <f>E458+E676</f>
        <v>4704168.0000000009</v>
      </c>
      <c r="F682" s="422">
        <f>F458+F676</f>
        <v>4650670.7299999995</v>
      </c>
      <c r="G682" s="423">
        <f t="shared" si="66"/>
        <v>98.862768719144356</v>
      </c>
      <c r="H682" s="417"/>
      <c r="I682" s="422">
        <f>I458+I676</f>
        <v>16181634.800000001</v>
      </c>
      <c r="J682" s="422">
        <f>J458+J676</f>
        <v>15850277.389999999</v>
      </c>
      <c r="K682" s="416">
        <f t="shared" si="67"/>
        <v>97.9522624623811</v>
      </c>
      <c r="L682" s="417"/>
      <c r="M682" s="447"/>
    </row>
    <row r="683" spans="1:13" s="155" customFormat="1" x14ac:dyDescent="0.25">
      <c r="A683" s="492"/>
      <c r="B683" s="387" t="s">
        <v>22</v>
      </c>
      <c r="C683" s="419"/>
      <c r="D683" s="388"/>
      <c r="E683" s="422">
        <f>E459+E677</f>
        <v>354930.2</v>
      </c>
      <c r="F683" s="422">
        <f>F459+F677</f>
        <v>336932.01999999996</v>
      </c>
      <c r="G683" s="423">
        <f>F683/E683*100</f>
        <v>94.929093100558916</v>
      </c>
      <c r="H683" s="417"/>
      <c r="I683" s="422">
        <f>I459+I677</f>
        <v>2000591.2</v>
      </c>
      <c r="J683" s="422">
        <f>J459+J677</f>
        <v>1733984.02</v>
      </c>
      <c r="K683" s="416">
        <f t="shared" si="67"/>
        <v>86.673580289666376</v>
      </c>
      <c r="L683" s="417"/>
      <c r="M683" s="447"/>
    </row>
    <row r="684" spans="1:13" s="155" customFormat="1" x14ac:dyDescent="0.25">
      <c r="A684" s="492"/>
      <c r="B684" s="387" t="s">
        <v>53</v>
      </c>
      <c r="C684" s="419"/>
      <c r="D684" s="388"/>
      <c r="E684" s="422">
        <f>E678</f>
        <v>135800</v>
      </c>
      <c r="F684" s="422">
        <f>F678</f>
        <v>226122.02999999997</v>
      </c>
      <c r="G684" s="423">
        <f>F684/E684*100</f>
        <v>166.51106774668628</v>
      </c>
      <c r="H684" s="417"/>
      <c r="I684" s="422">
        <f>I678</f>
        <v>679100</v>
      </c>
      <c r="J684" s="422">
        <f>J678</f>
        <v>983263.2300000001</v>
      </c>
      <c r="K684" s="416">
        <f t="shared" si="67"/>
        <v>144.78916654395525</v>
      </c>
      <c r="L684" s="417"/>
      <c r="M684" s="447"/>
    </row>
    <row r="685" spans="1:13" ht="24.75" customHeight="1" x14ac:dyDescent="0.25">
      <c r="A685" s="492"/>
      <c r="B685" s="384" t="s">
        <v>139</v>
      </c>
      <c r="C685" s="383"/>
      <c r="D685" s="383"/>
      <c r="E685" s="428"/>
      <c r="F685" s="428"/>
      <c r="G685" s="428"/>
      <c r="H685" s="414"/>
      <c r="I685" s="415">
        <f>I460+I679</f>
        <v>77000</v>
      </c>
      <c r="J685" s="415">
        <f>J460+J679</f>
        <v>1266213.95</v>
      </c>
      <c r="K685" s="414"/>
      <c r="L685" s="414"/>
      <c r="M685" s="444"/>
    </row>
    <row r="686" spans="1:13" ht="21.75" customHeight="1" x14ac:dyDescent="0.25">
      <c r="A686" s="565" t="s">
        <v>307</v>
      </c>
      <c r="B686" s="565"/>
      <c r="C686" s="565"/>
      <c r="D686" s="565"/>
      <c r="E686" s="565"/>
      <c r="F686" s="565"/>
      <c r="G686" s="565"/>
      <c r="H686" s="565"/>
      <c r="I686" s="565"/>
      <c r="J686" s="565"/>
      <c r="K686" s="565"/>
      <c r="L686" s="565"/>
      <c r="M686" s="565"/>
    </row>
    <row r="687" spans="1:13" x14ac:dyDescent="0.25">
      <c r="A687" s="564" t="s">
        <v>74</v>
      </c>
      <c r="B687" s="564"/>
      <c r="C687" s="564"/>
      <c r="D687" s="564"/>
      <c r="E687" s="564"/>
      <c r="F687" s="564"/>
      <c r="G687" s="564"/>
      <c r="H687" s="564"/>
      <c r="I687" s="564"/>
      <c r="J687" s="564"/>
      <c r="K687" s="564"/>
      <c r="L687" s="564"/>
      <c r="M687" s="564"/>
    </row>
    <row r="688" spans="1:13" ht="80.25" customHeight="1" x14ac:dyDescent="0.25">
      <c r="A688" s="495">
        <v>215</v>
      </c>
      <c r="B688" s="384" t="s">
        <v>75</v>
      </c>
      <c r="C688" s="262" t="s">
        <v>14</v>
      </c>
      <c r="D688" s="262" t="s">
        <v>16</v>
      </c>
      <c r="E688" s="385">
        <f>E689</f>
        <v>50675</v>
      </c>
      <c r="F688" s="385">
        <f>F689</f>
        <v>50625</v>
      </c>
      <c r="G688" s="397">
        <f t="shared" ref="G688:G701" si="68">F688/E688*100</f>
        <v>99.90133201776024</v>
      </c>
      <c r="H688" s="261">
        <v>100</v>
      </c>
      <c r="I688" s="385">
        <f>I689</f>
        <v>227210</v>
      </c>
      <c r="J688" s="385">
        <f>J689</f>
        <v>227096</v>
      </c>
      <c r="K688" s="397">
        <f t="shared" ref="K688:K701" si="69">J688/I688*100</f>
        <v>99.949826152017962</v>
      </c>
      <c r="L688" s="261">
        <v>100</v>
      </c>
      <c r="M688" s="444"/>
    </row>
    <row r="689" spans="1:13" s="155" customFormat="1" x14ac:dyDescent="0.25">
      <c r="A689" s="495"/>
      <c r="B689" s="387" t="s">
        <v>13</v>
      </c>
      <c r="C689" s="388"/>
      <c r="D689" s="388"/>
      <c r="E689" s="389">
        <v>50675</v>
      </c>
      <c r="F689" s="389">
        <v>50625</v>
      </c>
      <c r="G689" s="400">
        <f t="shared" si="68"/>
        <v>99.90133201776024</v>
      </c>
      <c r="H689" s="391"/>
      <c r="I689" s="389">
        <f>E689+'2016'!E519+'2017'!E515+'2018'!E515</f>
        <v>227210</v>
      </c>
      <c r="J689" s="389">
        <f>F689+'2016'!F519+'2017'!F515+'2018'!F515</f>
        <v>227096</v>
      </c>
      <c r="K689" s="400">
        <f t="shared" si="69"/>
        <v>99.949826152017962</v>
      </c>
      <c r="L689" s="391"/>
      <c r="M689" s="447"/>
    </row>
    <row r="690" spans="1:13" ht="65.25" customHeight="1" x14ac:dyDescent="0.25">
      <c r="A690" s="495">
        <v>216</v>
      </c>
      <c r="B690" s="384" t="s">
        <v>76</v>
      </c>
      <c r="C690" s="262" t="s">
        <v>14</v>
      </c>
      <c r="D690" s="262" t="s">
        <v>16</v>
      </c>
      <c r="E690" s="385">
        <f>E691</f>
        <v>11800</v>
      </c>
      <c r="F690" s="385">
        <f>F691</f>
        <v>11740</v>
      </c>
      <c r="G690" s="397">
        <f t="shared" si="68"/>
        <v>99.491525423728817</v>
      </c>
      <c r="H690" s="261">
        <v>100</v>
      </c>
      <c r="I690" s="385">
        <f>I691</f>
        <v>76713</v>
      </c>
      <c r="J690" s="385">
        <f>J691</f>
        <v>76545.539999999994</v>
      </c>
      <c r="K690" s="397">
        <f t="shared" si="69"/>
        <v>99.781705838645323</v>
      </c>
      <c r="L690" s="261">
        <v>100</v>
      </c>
      <c r="M690" s="444"/>
    </row>
    <row r="691" spans="1:13" s="155" customFormat="1" x14ac:dyDescent="0.25">
      <c r="A691" s="492"/>
      <c r="B691" s="387" t="s">
        <v>13</v>
      </c>
      <c r="C691" s="388"/>
      <c r="D691" s="388"/>
      <c r="E691" s="389">
        <v>11800</v>
      </c>
      <c r="F691" s="389">
        <v>11740</v>
      </c>
      <c r="G691" s="400">
        <f t="shared" si="68"/>
        <v>99.491525423728817</v>
      </c>
      <c r="H691" s="391"/>
      <c r="I691" s="389">
        <f>E691+'2016'!E521+'2017'!E517+'2018'!E517</f>
        <v>76713</v>
      </c>
      <c r="J691" s="389">
        <f>F691+'2016'!F521+'2017'!F517+'2018'!F517</f>
        <v>76545.539999999994</v>
      </c>
      <c r="K691" s="400">
        <f t="shared" si="69"/>
        <v>99.781705838645323</v>
      </c>
      <c r="L691" s="391"/>
      <c r="M691" s="447"/>
    </row>
    <row r="692" spans="1:13" s="155" customFormat="1" ht="35.25" customHeight="1" x14ac:dyDescent="0.25">
      <c r="A692" s="492">
        <v>217</v>
      </c>
      <c r="B692" s="384" t="s">
        <v>554</v>
      </c>
      <c r="C692" s="467" t="s">
        <v>14</v>
      </c>
      <c r="D692" s="467" t="s">
        <v>591</v>
      </c>
      <c r="E692" s="385">
        <f>E693</f>
        <v>119458</v>
      </c>
      <c r="F692" s="385">
        <f>F693</f>
        <v>119082.81</v>
      </c>
      <c r="G692" s="397">
        <f t="shared" si="68"/>
        <v>99.685923085938157</v>
      </c>
      <c r="H692" s="483">
        <v>100</v>
      </c>
      <c r="I692" s="385">
        <f>I693</f>
        <v>255356</v>
      </c>
      <c r="J692" s="385">
        <f>J693</f>
        <v>252077.16999999998</v>
      </c>
      <c r="K692" s="397">
        <f t="shared" si="69"/>
        <v>98.715976910665887</v>
      </c>
      <c r="L692" s="483">
        <v>100</v>
      </c>
      <c r="M692" s="447"/>
    </row>
    <row r="693" spans="1:13" s="155" customFormat="1" x14ac:dyDescent="0.25">
      <c r="A693" s="492"/>
      <c r="B693" s="387" t="s">
        <v>13</v>
      </c>
      <c r="C693" s="388"/>
      <c r="D693" s="388"/>
      <c r="E693" s="389">
        <v>119458</v>
      </c>
      <c r="F693" s="389">
        <v>119082.81</v>
      </c>
      <c r="G693" s="400">
        <f t="shared" si="68"/>
        <v>99.685923085938157</v>
      </c>
      <c r="H693" s="391"/>
      <c r="I693" s="389">
        <f>E693+'2017'!E519</f>
        <v>255356</v>
      </c>
      <c r="J693" s="389">
        <f>F693+'2017'!F519</f>
        <v>252077.16999999998</v>
      </c>
      <c r="K693" s="400">
        <f t="shared" si="69"/>
        <v>98.715976910665887</v>
      </c>
      <c r="L693" s="391"/>
      <c r="M693" s="447"/>
    </row>
    <row r="694" spans="1:13" ht="105.75" customHeight="1" x14ac:dyDescent="0.25">
      <c r="A694" s="495">
        <v>218</v>
      </c>
      <c r="B694" s="384" t="s">
        <v>77</v>
      </c>
      <c r="C694" s="262" t="s">
        <v>14</v>
      </c>
      <c r="D694" s="262" t="s">
        <v>16</v>
      </c>
      <c r="E694" s="385">
        <f>E695</f>
        <v>6000</v>
      </c>
      <c r="F694" s="385">
        <f>F695</f>
        <v>6000</v>
      </c>
      <c r="G694" s="397">
        <f t="shared" si="68"/>
        <v>100</v>
      </c>
      <c r="H694" s="261">
        <v>100</v>
      </c>
      <c r="I694" s="385">
        <f>I695</f>
        <v>54600</v>
      </c>
      <c r="J694" s="385">
        <f>J695</f>
        <v>54553.3</v>
      </c>
      <c r="K694" s="397">
        <f t="shared" si="69"/>
        <v>99.914468864468873</v>
      </c>
      <c r="L694" s="261">
        <v>100</v>
      </c>
      <c r="M694" s="444"/>
    </row>
    <row r="695" spans="1:13" s="155" customFormat="1" x14ac:dyDescent="0.25">
      <c r="A695" s="495"/>
      <c r="B695" s="387" t="s">
        <v>13</v>
      </c>
      <c r="C695" s="388"/>
      <c r="D695" s="388"/>
      <c r="E695" s="389">
        <v>6000</v>
      </c>
      <c r="F695" s="389">
        <v>6000</v>
      </c>
      <c r="G695" s="400">
        <f t="shared" si="68"/>
        <v>100</v>
      </c>
      <c r="H695" s="391"/>
      <c r="I695" s="389">
        <f>E695+'2016'!E523+'2017'!E521+'2018'!E519</f>
        <v>54600</v>
      </c>
      <c r="J695" s="389">
        <f>F695+'2016'!F523+'2017'!F521+'2018'!F519</f>
        <v>54553.3</v>
      </c>
      <c r="K695" s="400">
        <f t="shared" si="69"/>
        <v>99.914468864468873</v>
      </c>
      <c r="L695" s="391"/>
      <c r="M695" s="447"/>
    </row>
    <row r="696" spans="1:13" ht="105" x14ac:dyDescent="0.25">
      <c r="A696" s="495">
        <v>219</v>
      </c>
      <c r="B696" s="384" t="s">
        <v>78</v>
      </c>
      <c r="C696" s="262" t="s">
        <v>50</v>
      </c>
      <c r="D696" s="262" t="s">
        <v>16</v>
      </c>
      <c r="E696" s="385">
        <f>E697+E698</f>
        <v>8400</v>
      </c>
      <c r="F696" s="385">
        <f>F697+F698</f>
        <v>8400</v>
      </c>
      <c r="G696" s="397">
        <f>F696/E696*100</f>
        <v>100</v>
      </c>
      <c r="H696" s="261">
        <v>100</v>
      </c>
      <c r="I696" s="385">
        <f>I697+I698</f>
        <v>30130</v>
      </c>
      <c r="J696" s="385">
        <f>J697+J698</f>
        <v>30130</v>
      </c>
      <c r="K696" s="397">
        <f t="shared" si="69"/>
        <v>100</v>
      </c>
      <c r="L696" s="488">
        <v>100</v>
      </c>
      <c r="M696" s="444"/>
    </row>
    <row r="697" spans="1:13" s="155" customFormat="1" x14ac:dyDescent="0.25">
      <c r="A697" s="492"/>
      <c r="B697" s="387" t="s">
        <v>13</v>
      </c>
      <c r="C697" s="388"/>
      <c r="D697" s="388"/>
      <c r="E697" s="389">
        <v>5900</v>
      </c>
      <c r="F697" s="389">
        <v>5900</v>
      </c>
      <c r="G697" s="400">
        <f t="shared" si="68"/>
        <v>100</v>
      </c>
      <c r="H697" s="391"/>
      <c r="I697" s="389">
        <f>E697+'2016'!E525+'2017'!E523+'2018'!E521</f>
        <v>20130</v>
      </c>
      <c r="J697" s="389">
        <f>F697+'2016'!F525+'2017'!F523+'2018'!F521</f>
        <v>20130</v>
      </c>
      <c r="K697" s="400">
        <f t="shared" si="69"/>
        <v>100</v>
      </c>
      <c r="L697" s="391"/>
      <c r="M697" s="447"/>
    </row>
    <row r="698" spans="1:13" s="155" customFormat="1" ht="23.25" customHeight="1" x14ac:dyDescent="0.25">
      <c r="A698" s="492"/>
      <c r="B698" s="387" t="s">
        <v>139</v>
      </c>
      <c r="C698" s="388"/>
      <c r="D698" s="388"/>
      <c r="E698" s="389">
        <v>2500</v>
      </c>
      <c r="F698" s="389">
        <v>2500</v>
      </c>
      <c r="G698" s="400">
        <f t="shared" si="68"/>
        <v>100</v>
      </c>
      <c r="H698" s="391"/>
      <c r="I698" s="389">
        <f>E698+'2016'!E526+'2017'!E524+'2018'!E522</f>
        <v>10000</v>
      </c>
      <c r="J698" s="389">
        <f>F698+'2016'!F526+'2017'!F524+'2018'!F522</f>
        <v>10000</v>
      </c>
      <c r="K698" s="400">
        <f t="shared" si="69"/>
        <v>100</v>
      </c>
      <c r="L698" s="391"/>
      <c r="M698" s="447"/>
    </row>
    <row r="699" spans="1:13" x14ac:dyDescent="0.25">
      <c r="A699" s="492"/>
      <c r="B699" s="394" t="s">
        <v>54</v>
      </c>
      <c r="C699" s="262"/>
      <c r="D699" s="262"/>
      <c r="E699" s="395">
        <f>E700+E701</f>
        <v>196333</v>
      </c>
      <c r="F699" s="395">
        <f>F700+F701</f>
        <v>195847.81</v>
      </c>
      <c r="G699" s="399">
        <f t="shared" si="68"/>
        <v>99.752873943758814</v>
      </c>
      <c r="H699" s="261"/>
      <c r="I699" s="395">
        <f>I700+I701</f>
        <v>644009</v>
      </c>
      <c r="J699" s="395">
        <f>J700+J701</f>
        <v>640402.01</v>
      </c>
      <c r="K699" s="399">
        <f t="shared" si="69"/>
        <v>99.439916212351079</v>
      </c>
      <c r="L699" s="261"/>
      <c r="M699" s="444"/>
    </row>
    <row r="700" spans="1:13" s="155" customFormat="1" x14ac:dyDescent="0.25">
      <c r="A700" s="492"/>
      <c r="B700" s="387" t="s">
        <v>13</v>
      </c>
      <c r="C700" s="388"/>
      <c r="D700" s="388"/>
      <c r="E700" s="389">
        <f>E689+E691+E693+E695+E697</f>
        <v>193833</v>
      </c>
      <c r="F700" s="389">
        <f>F689+F691+F693+F695+F697</f>
        <v>193347.81</v>
      </c>
      <c r="G700" s="400">
        <f t="shared" si="68"/>
        <v>99.74968658587548</v>
      </c>
      <c r="H700" s="391"/>
      <c r="I700" s="389">
        <f>I689+I691+I693+I695+I697</f>
        <v>634009</v>
      </c>
      <c r="J700" s="389">
        <f>J689+J691+J693+J695+J697</f>
        <v>630402.01</v>
      </c>
      <c r="K700" s="400">
        <f t="shared" si="69"/>
        <v>99.431082208612182</v>
      </c>
      <c r="L700" s="391"/>
      <c r="M700" s="447"/>
    </row>
    <row r="701" spans="1:13" s="155" customFormat="1" ht="30" x14ac:dyDescent="0.25">
      <c r="A701" s="492"/>
      <c r="B701" s="387" t="s">
        <v>139</v>
      </c>
      <c r="C701" s="388"/>
      <c r="D701" s="388"/>
      <c r="E701" s="389">
        <f>E698</f>
        <v>2500</v>
      </c>
      <c r="F701" s="389">
        <f>F698</f>
        <v>2500</v>
      </c>
      <c r="G701" s="400">
        <f t="shared" si="68"/>
        <v>100</v>
      </c>
      <c r="H701" s="391"/>
      <c r="I701" s="389">
        <f>I698</f>
        <v>10000</v>
      </c>
      <c r="J701" s="389">
        <f>J698</f>
        <v>10000</v>
      </c>
      <c r="K701" s="400">
        <f t="shared" si="69"/>
        <v>100</v>
      </c>
      <c r="L701" s="391"/>
      <c r="M701" s="447"/>
    </row>
    <row r="702" spans="1:13" x14ac:dyDescent="0.25">
      <c r="A702" s="492"/>
      <c r="B702" s="564" t="s">
        <v>79</v>
      </c>
      <c r="C702" s="564"/>
      <c r="D702" s="564"/>
      <c r="E702" s="564"/>
      <c r="F702" s="564"/>
      <c r="G702" s="564"/>
      <c r="H702" s="564"/>
      <c r="I702" s="564"/>
      <c r="J702" s="564"/>
      <c r="K702" s="564"/>
      <c r="L702" s="564"/>
      <c r="M702" s="564"/>
    </row>
    <row r="703" spans="1:13" ht="109.5" customHeight="1" x14ac:dyDescent="0.25">
      <c r="A703" s="495">
        <v>220</v>
      </c>
      <c r="B703" s="384" t="s">
        <v>80</v>
      </c>
      <c r="C703" s="262" t="s">
        <v>14</v>
      </c>
      <c r="D703" s="262" t="s">
        <v>16</v>
      </c>
      <c r="E703" s="385">
        <f>E704</f>
        <v>58500</v>
      </c>
      <c r="F703" s="385">
        <f>F704</f>
        <v>58500</v>
      </c>
      <c r="G703" s="397">
        <f t="shared" ref="G703:G716" si="70">F703/E703*100</f>
        <v>100</v>
      </c>
      <c r="H703" s="261">
        <v>100</v>
      </c>
      <c r="I703" s="385">
        <f>I704</f>
        <v>293300</v>
      </c>
      <c r="J703" s="385">
        <f>J704</f>
        <v>293213.66000000003</v>
      </c>
      <c r="K703" s="397">
        <f t="shared" ref="K703:K725" si="71">J703/I703*100</f>
        <v>99.970562563927729</v>
      </c>
      <c r="L703" s="261"/>
      <c r="M703" s="444"/>
    </row>
    <row r="704" spans="1:13" s="155" customFormat="1" x14ac:dyDescent="0.25">
      <c r="A704" s="492"/>
      <c r="B704" s="387" t="s">
        <v>13</v>
      </c>
      <c r="C704" s="388"/>
      <c r="D704" s="388"/>
      <c r="E704" s="389">
        <v>58500</v>
      </c>
      <c r="F704" s="389">
        <v>58500</v>
      </c>
      <c r="G704" s="400">
        <f t="shared" si="70"/>
        <v>100</v>
      </c>
      <c r="H704" s="261">
        <v>100</v>
      </c>
      <c r="I704" s="389">
        <f>E704+'2016'!E532+'2017'!E530+'2018'!E528</f>
        <v>293300</v>
      </c>
      <c r="J704" s="389">
        <f>F704+'2016'!F532+'2017'!F530+'2018'!F528</f>
        <v>293213.66000000003</v>
      </c>
      <c r="K704" s="400">
        <f t="shared" si="71"/>
        <v>99.970562563927729</v>
      </c>
      <c r="L704" s="261"/>
      <c r="M704" s="451"/>
    </row>
    <row r="705" spans="1:13" s="155" customFormat="1" ht="45" x14ac:dyDescent="0.25">
      <c r="A705" s="495">
        <v>221</v>
      </c>
      <c r="B705" s="434" t="s">
        <v>499</v>
      </c>
      <c r="C705" s="262" t="s">
        <v>14</v>
      </c>
      <c r="D705" s="262" t="s">
        <v>16</v>
      </c>
      <c r="E705" s="385">
        <f>E706</f>
        <v>13500</v>
      </c>
      <c r="F705" s="385">
        <f>F706</f>
        <v>11820.8</v>
      </c>
      <c r="G705" s="397">
        <f t="shared" si="70"/>
        <v>87.561481481481479</v>
      </c>
      <c r="H705" s="261">
        <v>100</v>
      </c>
      <c r="I705" s="385">
        <f>I706</f>
        <v>57230</v>
      </c>
      <c r="J705" s="385">
        <f>J706</f>
        <v>55535.02</v>
      </c>
      <c r="K705" s="397">
        <f t="shared" si="71"/>
        <v>97.038301590075122</v>
      </c>
      <c r="L705" s="261">
        <v>100</v>
      </c>
      <c r="M705" s="451"/>
    </row>
    <row r="706" spans="1:13" s="155" customFormat="1" x14ac:dyDescent="0.25">
      <c r="A706" s="492"/>
      <c r="B706" s="387" t="s">
        <v>13</v>
      </c>
      <c r="C706" s="388"/>
      <c r="D706" s="388"/>
      <c r="E706" s="389">
        <v>13500</v>
      </c>
      <c r="F706" s="389">
        <v>11820.8</v>
      </c>
      <c r="G706" s="400">
        <f t="shared" si="70"/>
        <v>87.561481481481479</v>
      </c>
      <c r="H706" s="391"/>
      <c r="I706" s="389">
        <f>E706+'2016'!E534+'2017'!E532+'2018'!E530</f>
        <v>57230</v>
      </c>
      <c r="J706" s="389">
        <f>F706+'2016'!F534+'2017'!F532+'2018'!F530</f>
        <v>55535.02</v>
      </c>
      <c r="K706" s="400">
        <f t="shared" si="71"/>
        <v>97.038301590075122</v>
      </c>
      <c r="L706" s="391"/>
      <c r="M706" s="451"/>
    </row>
    <row r="707" spans="1:13" ht="75" x14ac:dyDescent="0.25">
      <c r="A707" s="492">
        <v>222</v>
      </c>
      <c r="B707" s="384" t="s">
        <v>81</v>
      </c>
      <c r="C707" s="262" t="s">
        <v>14</v>
      </c>
      <c r="D707" s="262" t="s">
        <v>16</v>
      </c>
      <c r="E707" s="385">
        <f>E708</f>
        <v>10500</v>
      </c>
      <c r="F707" s="385">
        <f>F708</f>
        <v>10500</v>
      </c>
      <c r="G707" s="397">
        <f t="shared" si="70"/>
        <v>100</v>
      </c>
      <c r="H707" s="261">
        <v>100</v>
      </c>
      <c r="I707" s="385">
        <f>I708</f>
        <v>41950</v>
      </c>
      <c r="J707" s="385">
        <f>J708</f>
        <v>41230.35</v>
      </c>
      <c r="K707" s="397">
        <f t="shared" si="71"/>
        <v>98.284505363528012</v>
      </c>
      <c r="L707" s="261">
        <v>100</v>
      </c>
      <c r="M707" s="444"/>
    </row>
    <row r="708" spans="1:13" s="155" customFormat="1" x14ac:dyDescent="0.25">
      <c r="A708" s="492"/>
      <c r="B708" s="387" t="s">
        <v>13</v>
      </c>
      <c r="C708" s="388"/>
      <c r="D708" s="408"/>
      <c r="E708" s="404">
        <v>10500</v>
      </c>
      <c r="F708" s="404">
        <v>10500</v>
      </c>
      <c r="G708" s="400">
        <f t="shared" si="70"/>
        <v>100</v>
      </c>
      <c r="H708" s="409"/>
      <c r="I708" s="389">
        <f>E708+'2016'!E536+'2017'!E534+'2018'!E532</f>
        <v>41950</v>
      </c>
      <c r="J708" s="389">
        <f>F708+'2016'!F536+'2017'!F534+'2018'!F532</f>
        <v>41230.35</v>
      </c>
      <c r="K708" s="400">
        <f t="shared" si="71"/>
        <v>98.284505363528012</v>
      </c>
      <c r="L708" s="409"/>
      <c r="M708" s="451"/>
    </row>
    <row r="709" spans="1:13" ht="75" x14ac:dyDescent="0.25">
      <c r="A709" s="492">
        <v>223</v>
      </c>
      <c r="B709" s="384" t="s">
        <v>82</v>
      </c>
      <c r="C709" s="262" t="s">
        <v>14</v>
      </c>
      <c r="D709" s="262" t="s">
        <v>16</v>
      </c>
      <c r="E709" s="385">
        <f>E710</f>
        <v>8000</v>
      </c>
      <c r="F709" s="385">
        <f>F710</f>
        <v>7950</v>
      </c>
      <c r="G709" s="397">
        <f t="shared" si="70"/>
        <v>99.375</v>
      </c>
      <c r="H709" s="261">
        <v>100</v>
      </c>
      <c r="I709" s="385">
        <f>I710</f>
        <v>31620</v>
      </c>
      <c r="J709" s="385">
        <f>J710</f>
        <v>31540</v>
      </c>
      <c r="K709" s="397">
        <f t="shared" si="71"/>
        <v>99.74699557242252</v>
      </c>
      <c r="L709" s="261">
        <v>100</v>
      </c>
      <c r="M709" s="452"/>
    </row>
    <row r="710" spans="1:13" s="155" customFormat="1" x14ac:dyDescent="0.25">
      <c r="A710" s="492"/>
      <c r="B710" s="387" t="s">
        <v>13</v>
      </c>
      <c r="C710" s="388"/>
      <c r="D710" s="408"/>
      <c r="E710" s="404">
        <v>8000</v>
      </c>
      <c r="F710" s="404">
        <v>7950</v>
      </c>
      <c r="G710" s="400">
        <f t="shared" si="70"/>
        <v>99.375</v>
      </c>
      <c r="H710" s="409"/>
      <c r="I710" s="389">
        <f>E710+'2016'!E538+'2017'!E536+'2018'!E534</f>
        <v>31620</v>
      </c>
      <c r="J710" s="389">
        <f>F710+'2016'!F538+'2017'!F536+'2018'!F534</f>
        <v>31540</v>
      </c>
      <c r="K710" s="400">
        <f t="shared" si="71"/>
        <v>99.74699557242252</v>
      </c>
      <c r="L710" s="409"/>
      <c r="M710" s="453"/>
    </row>
    <row r="711" spans="1:13" ht="90.75" customHeight="1" x14ac:dyDescent="0.25">
      <c r="A711" s="492">
        <v>224</v>
      </c>
      <c r="B711" s="384" t="s">
        <v>83</v>
      </c>
      <c r="C711" s="262" t="s">
        <v>14</v>
      </c>
      <c r="D711" s="262" t="s">
        <v>16</v>
      </c>
      <c r="E711" s="385">
        <f>E712</f>
        <v>69659</v>
      </c>
      <c r="F711" s="385">
        <f>F712</f>
        <v>69658.649999999994</v>
      </c>
      <c r="G711" s="397">
        <f t="shared" si="70"/>
        <v>99.999497552362214</v>
      </c>
      <c r="H711" s="261">
        <v>100</v>
      </c>
      <c r="I711" s="385">
        <f>I712</f>
        <v>586875</v>
      </c>
      <c r="J711" s="385">
        <f>J712</f>
        <v>433003.79</v>
      </c>
      <c r="K711" s="397">
        <f t="shared" si="71"/>
        <v>73.781263471778473</v>
      </c>
      <c r="L711" s="485">
        <v>100</v>
      </c>
      <c r="M711" s="262"/>
    </row>
    <row r="712" spans="1:13" s="155" customFormat="1" x14ac:dyDescent="0.25">
      <c r="A712" s="492"/>
      <c r="B712" s="387" t="s">
        <v>13</v>
      </c>
      <c r="C712" s="388"/>
      <c r="D712" s="388"/>
      <c r="E712" s="389">
        <v>69659</v>
      </c>
      <c r="F712" s="389">
        <v>69658.649999999994</v>
      </c>
      <c r="G712" s="400">
        <f t="shared" si="70"/>
        <v>99.999497552362214</v>
      </c>
      <c r="H712" s="391"/>
      <c r="I712" s="389">
        <f>E712+'2016'!E540+'2017'!E538+'2018'!E536</f>
        <v>586875</v>
      </c>
      <c r="J712" s="389">
        <f>F712+'2016'!F540+'2017'!F538+'2018'!F536</f>
        <v>433003.79</v>
      </c>
      <c r="K712" s="400">
        <f t="shared" si="71"/>
        <v>73.781263471778473</v>
      </c>
      <c r="L712" s="391"/>
      <c r="M712" s="454"/>
    </row>
    <row r="713" spans="1:13" s="155" customFormat="1" ht="45" x14ac:dyDescent="0.25">
      <c r="A713" s="492">
        <v>225</v>
      </c>
      <c r="B713" s="384" t="s">
        <v>299</v>
      </c>
      <c r="C713" s="262" t="s">
        <v>14</v>
      </c>
      <c r="D713" s="262" t="s">
        <v>280</v>
      </c>
      <c r="E713" s="385">
        <f>E714</f>
        <v>19350</v>
      </c>
      <c r="F713" s="385">
        <f>F714</f>
        <v>19350</v>
      </c>
      <c r="G713" s="397">
        <f t="shared" si="70"/>
        <v>100</v>
      </c>
      <c r="H713" s="261">
        <v>100</v>
      </c>
      <c r="I713" s="385">
        <f>I714</f>
        <v>56700</v>
      </c>
      <c r="J713" s="385">
        <f>J714</f>
        <v>56700</v>
      </c>
      <c r="K713" s="397">
        <f t="shared" si="71"/>
        <v>100</v>
      </c>
      <c r="L713" s="485">
        <v>100</v>
      </c>
      <c r="M713" s="454"/>
    </row>
    <row r="714" spans="1:13" s="155" customFormat="1" x14ac:dyDescent="0.25">
      <c r="A714" s="492"/>
      <c r="B714" s="387" t="s">
        <v>13</v>
      </c>
      <c r="C714" s="388"/>
      <c r="D714" s="388"/>
      <c r="E714" s="389">
        <v>19350</v>
      </c>
      <c r="F714" s="389">
        <v>19350</v>
      </c>
      <c r="G714" s="400">
        <f t="shared" si="70"/>
        <v>100</v>
      </c>
      <c r="H714" s="391"/>
      <c r="I714" s="389">
        <f>E714+'2017'!E540+'2018'!E538</f>
        <v>56700</v>
      </c>
      <c r="J714" s="389">
        <f>F714+'2017'!F540+'2018'!F538</f>
        <v>56700</v>
      </c>
      <c r="K714" s="400">
        <f t="shared" si="71"/>
        <v>100</v>
      </c>
      <c r="L714" s="391"/>
      <c r="M714" s="454"/>
    </row>
    <row r="715" spans="1:13" x14ac:dyDescent="0.25">
      <c r="A715" s="492"/>
      <c r="B715" s="394" t="s">
        <v>54</v>
      </c>
      <c r="C715" s="262"/>
      <c r="D715" s="262"/>
      <c r="E715" s="395">
        <f>E716</f>
        <v>179509</v>
      </c>
      <c r="F715" s="395">
        <f>F716</f>
        <v>177779.45</v>
      </c>
      <c r="G715" s="399">
        <f t="shared" si="70"/>
        <v>99.036510704198676</v>
      </c>
      <c r="H715" s="391"/>
      <c r="I715" s="395">
        <f>I716</f>
        <v>1067675</v>
      </c>
      <c r="J715" s="395">
        <f>J716</f>
        <v>911222.82</v>
      </c>
      <c r="K715" s="399">
        <f t="shared" si="71"/>
        <v>85.346460299248363</v>
      </c>
      <c r="L715" s="391"/>
      <c r="M715" s="455"/>
    </row>
    <row r="716" spans="1:13" s="155" customFormat="1" x14ac:dyDescent="0.25">
      <c r="A716" s="492"/>
      <c r="B716" s="387" t="s">
        <v>13</v>
      </c>
      <c r="C716" s="388"/>
      <c r="D716" s="388"/>
      <c r="E716" s="389">
        <f>E712+E710+E708+E706+E704+E714</f>
        <v>179509</v>
      </c>
      <c r="F716" s="389">
        <f>F712+F710+F708+F706+F704+F714</f>
        <v>177779.45</v>
      </c>
      <c r="G716" s="400">
        <f t="shared" si="70"/>
        <v>99.036510704198676</v>
      </c>
      <c r="H716" s="391"/>
      <c r="I716" s="389">
        <f>I712+I710+I708+I706+I704+I714</f>
        <v>1067675</v>
      </c>
      <c r="J716" s="389">
        <f>J712+J710+J708+J706+J704+J714</f>
        <v>911222.82</v>
      </c>
      <c r="K716" s="400">
        <f t="shared" si="71"/>
        <v>85.346460299248363</v>
      </c>
      <c r="L716" s="391"/>
      <c r="M716" s="456"/>
    </row>
    <row r="717" spans="1:13" x14ac:dyDescent="0.25">
      <c r="A717" s="564" t="s">
        <v>84</v>
      </c>
      <c r="B717" s="564"/>
      <c r="C717" s="564"/>
      <c r="D717" s="564"/>
      <c r="E717" s="564"/>
      <c r="F717" s="564"/>
      <c r="G717" s="564"/>
      <c r="H717" s="564"/>
      <c r="I717" s="564"/>
      <c r="J717" s="564"/>
      <c r="K717" s="564"/>
      <c r="L717" s="564"/>
      <c r="M717" s="564"/>
    </row>
    <row r="718" spans="1:13" ht="90" x14ac:dyDescent="0.25">
      <c r="A718" s="492">
        <v>226</v>
      </c>
      <c r="B718" s="384" t="s">
        <v>85</v>
      </c>
      <c r="C718" s="262" t="s">
        <v>14</v>
      </c>
      <c r="D718" s="262" t="s">
        <v>16</v>
      </c>
      <c r="E718" s="385">
        <f>E719</f>
        <v>5600</v>
      </c>
      <c r="F718" s="385">
        <f>F719</f>
        <v>4100</v>
      </c>
      <c r="G718" s="397">
        <f t="shared" ref="G718:G725" si="72">F718/E718*100</f>
        <v>73.214285714285708</v>
      </c>
      <c r="H718" s="261">
        <v>100</v>
      </c>
      <c r="I718" s="385">
        <f>I719</f>
        <v>22200</v>
      </c>
      <c r="J718" s="385">
        <f>J719</f>
        <v>18100</v>
      </c>
      <c r="K718" s="397">
        <f t="shared" si="71"/>
        <v>81.531531531531527</v>
      </c>
      <c r="L718" s="261"/>
      <c r="M718" s="455"/>
    </row>
    <row r="719" spans="1:13" s="155" customFormat="1" x14ac:dyDescent="0.25">
      <c r="A719" s="492"/>
      <c r="B719" s="387" t="s">
        <v>13</v>
      </c>
      <c r="C719" s="388"/>
      <c r="D719" s="388"/>
      <c r="E719" s="389">
        <v>5600</v>
      </c>
      <c r="F719" s="389">
        <v>4100</v>
      </c>
      <c r="G719" s="400">
        <f t="shared" si="72"/>
        <v>73.214285714285708</v>
      </c>
      <c r="H719" s="391"/>
      <c r="I719" s="389">
        <f>E719+'2016'!E545+'2017'!E545+'2018'!E543</f>
        <v>22200</v>
      </c>
      <c r="J719" s="389">
        <f>F719+'2016'!F545+'2017'!F545+'2018'!F543</f>
        <v>18100</v>
      </c>
      <c r="K719" s="400">
        <f t="shared" si="71"/>
        <v>81.531531531531527</v>
      </c>
      <c r="L719" s="391"/>
      <c r="M719" s="456"/>
    </row>
    <row r="720" spans="1:13" ht="75" x14ac:dyDescent="0.25">
      <c r="A720" s="492">
        <v>227</v>
      </c>
      <c r="B720" s="384" t="s">
        <v>86</v>
      </c>
      <c r="C720" s="262" t="s">
        <v>14</v>
      </c>
      <c r="D720" s="262" t="s">
        <v>16</v>
      </c>
      <c r="E720" s="385">
        <f>E721</f>
        <v>157962</v>
      </c>
      <c r="F720" s="385">
        <f>F721</f>
        <v>157962</v>
      </c>
      <c r="G720" s="397">
        <f t="shared" si="72"/>
        <v>100</v>
      </c>
      <c r="H720" s="261">
        <v>100</v>
      </c>
      <c r="I720" s="385">
        <f>I721</f>
        <v>612586.19999999995</v>
      </c>
      <c r="J720" s="385">
        <f>J721</f>
        <v>612586.19999999995</v>
      </c>
      <c r="K720" s="397">
        <f t="shared" si="71"/>
        <v>100</v>
      </c>
      <c r="L720" s="261"/>
      <c r="M720" s="455"/>
    </row>
    <row r="721" spans="1:13" s="155" customFormat="1" x14ac:dyDescent="0.25">
      <c r="A721" s="492"/>
      <c r="B721" s="387" t="s">
        <v>13</v>
      </c>
      <c r="C721" s="388"/>
      <c r="D721" s="388"/>
      <c r="E721" s="389">
        <v>157962</v>
      </c>
      <c r="F721" s="389">
        <v>157962</v>
      </c>
      <c r="G721" s="400">
        <f t="shared" si="72"/>
        <v>100</v>
      </c>
      <c r="H721" s="391"/>
      <c r="I721" s="389">
        <f>E721+'2016'!E547+'2017'!E547+'2018'!E545</f>
        <v>612586.19999999995</v>
      </c>
      <c r="J721" s="389">
        <f>F721+'2016'!F547+'2017'!F547+'2018'!F545</f>
        <v>612586.19999999995</v>
      </c>
      <c r="K721" s="400">
        <f t="shared" si="71"/>
        <v>100</v>
      </c>
      <c r="L721" s="391"/>
      <c r="M721" s="456"/>
    </row>
    <row r="722" spans="1:13" ht="60" x14ac:dyDescent="0.25">
      <c r="A722" s="492">
        <v>228</v>
      </c>
      <c r="B722" s="384" t="s">
        <v>87</v>
      </c>
      <c r="C722" s="262" t="s">
        <v>14</v>
      </c>
      <c r="D722" s="262" t="s">
        <v>16</v>
      </c>
      <c r="E722" s="385">
        <f>E723</f>
        <v>9180</v>
      </c>
      <c r="F722" s="385">
        <f>F723</f>
        <v>9180</v>
      </c>
      <c r="G722" s="397">
        <f t="shared" si="72"/>
        <v>100</v>
      </c>
      <c r="H722" s="261">
        <v>100</v>
      </c>
      <c r="I722" s="385">
        <f>I723</f>
        <v>36460</v>
      </c>
      <c r="J722" s="385">
        <f>J723</f>
        <v>36460</v>
      </c>
      <c r="K722" s="397">
        <f t="shared" si="71"/>
        <v>100</v>
      </c>
      <c r="L722" s="261"/>
      <c r="M722" s="455"/>
    </row>
    <row r="723" spans="1:13" s="155" customFormat="1" x14ac:dyDescent="0.25">
      <c r="A723" s="492"/>
      <c r="B723" s="387" t="s">
        <v>13</v>
      </c>
      <c r="C723" s="388"/>
      <c r="D723" s="388"/>
      <c r="E723" s="389">
        <v>9180</v>
      </c>
      <c r="F723" s="389">
        <v>9180</v>
      </c>
      <c r="G723" s="400">
        <f t="shared" si="72"/>
        <v>100</v>
      </c>
      <c r="H723" s="391"/>
      <c r="I723" s="389">
        <f>E723+'2016'!E549+'2017'!E549+'2018'!E547</f>
        <v>36460</v>
      </c>
      <c r="J723" s="389">
        <f>F723+'2016'!F549+'2017'!F549+'2018'!F547</f>
        <v>36460</v>
      </c>
      <c r="K723" s="400">
        <f t="shared" si="71"/>
        <v>100</v>
      </c>
      <c r="L723" s="391"/>
      <c r="M723" s="456"/>
    </row>
    <row r="724" spans="1:13" x14ac:dyDescent="0.25">
      <c r="A724" s="492"/>
      <c r="B724" s="394" t="s">
        <v>54</v>
      </c>
      <c r="C724" s="262"/>
      <c r="D724" s="262"/>
      <c r="E724" s="395">
        <f>E719+E721+E723</f>
        <v>172742</v>
      </c>
      <c r="F724" s="395">
        <f>F719+F721+F723</f>
        <v>171242</v>
      </c>
      <c r="G724" s="399">
        <f t="shared" si="72"/>
        <v>99.131652985377045</v>
      </c>
      <c r="H724" s="261"/>
      <c r="I724" s="395">
        <f>I719+I721+I723</f>
        <v>671246.2</v>
      </c>
      <c r="J724" s="395">
        <f>J719+J721+J723</f>
        <v>667146.19999999995</v>
      </c>
      <c r="K724" s="399">
        <f t="shared" si="71"/>
        <v>99.38919579730954</v>
      </c>
      <c r="L724" s="261"/>
      <c r="M724" s="455"/>
    </row>
    <row r="725" spans="1:13" s="155" customFormat="1" x14ac:dyDescent="0.25">
      <c r="A725" s="492"/>
      <c r="B725" s="387" t="s">
        <v>13</v>
      </c>
      <c r="C725" s="388"/>
      <c r="D725" s="388"/>
      <c r="E725" s="389">
        <f>E719+E721+E723</f>
        <v>172742</v>
      </c>
      <c r="F725" s="389">
        <f>F719+F721+F723</f>
        <v>171242</v>
      </c>
      <c r="G725" s="400">
        <f t="shared" si="72"/>
        <v>99.131652985377045</v>
      </c>
      <c r="H725" s="391"/>
      <c r="I725" s="389">
        <f>I719+I721+I723</f>
        <v>671246.2</v>
      </c>
      <c r="J725" s="389">
        <f>J719+J721+J723</f>
        <v>667146.19999999995</v>
      </c>
      <c r="K725" s="400">
        <f t="shared" si="71"/>
        <v>99.38919579730954</v>
      </c>
      <c r="L725" s="391"/>
      <c r="M725" s="456"/>
    </row>
    <row r="726" spans="1:13" x14ac:dyDescent="0.25">
      <c r="A726" s="492"/>
      <c r="B726" s="387"/>
      <c r="C726" s="262"/>
      <c r="D726" s="262"/>
      <c r="E726" s="386"/>
      <c r="F726" s="386"/>
      <c r="G726" s="386"/>
      <c r="H726" s="261"/>
      <c r="I726" s="261"/>
      <c r="J726" s="261"/>
      <c r="K726" s="261"/>
      <c r="L726" s="261"/>
      <c r="M726" s="444"/>
    </row>
    <row r="727" spans="1:13" x14ac:dyDescent="0.25">
      <c r="A727" s="564" t="s">
        <v>88</v>
      </c>
      <c r="B727" s="564"/>
      <c r="C727" s="564"/>
      <c r="D727" s="564"/>
      <c r="E727" s="564"/>
      <c r="F727" s="564"/>
      <c r="G727" s="564"/>
      <c r="H727" s="564"/>
      <c r="I727" s="564"/>
      <c r="J727" s="564"/>
      <c r="K727" s="564"/>
      <c r="L727" s="564"/>
      <c r="M727" s="564"/>
    </row>
    <row r="728" spans="1:13" ht="120" customHeight="1" x14ac:dyDescent="0.25">
      <c r="A728" s="492">
        <v>229</v>
      </c>
      <c r="B728" s="384" t="s">
        <v>89</v>
      </c>
      <c r="C728" s="262" t="s">
        <v>14</v>
      </c>
      <c r="D728" s="262" t="s">
        <v>16</v>
      </c>
      <c r="E728" s="385">
        <f>E729</f>
        <v>2250</v>
      </c>
      <c r="F728" s="385">
        <f>F729</f>
        <v>2250</v>
      </c>
      <c r="G728" s="397">
        <f t="shared" ref="G728:G729" si="73">F728/E728*100</f>
        <v>100</v>
      </c>
      <c r="H728" s="261">
        <v>100</v>
      </c>
      <c r="I728" s="385">
        <f>I729</f>
        <v>8900</v>
      </c>
      <c r="J728" s="385">
        <f>J729</f>
        <v>8900</v>
      </c>
      <c r="K728" s="397">
        <f t="shared" ref="K728:K791" si="74">J728/I728*100</f>
        <v>100</v>
      </c>
      <c r="L728" s="261">
        <v>100</v>
      </c>
      <c r="M728" s="457"/>
    </row>
    <row r="729" spans="1:13" s="155" customFormat="1" x14ac:dyDescent="0.25">
      <c r="A729" s="492"/>
      <c r="B729" s="387" t="s">
        <v>13</v>
      </c>
      <c r="C729" s="388"/>
      <c r="D729" s="388"/>
      <c r="E729" s="389">
        <v>2250</v>
      </c>
      <c r="F729" s="389">
        <v>2250</v>
      </c>
      <c r="G729" s="400">
        <f t="shared" si="73"/>
        <v>100</v>
      </c>
      <c r="H729" s="391"/>
      <c r="I729" s="389">
        <f>E729+'2016'!E555+'2017'!E555+'2018'!E553</f>
        <v>8900</v>
      </c>
      <c r="J729" s="389">
        <f>F729+'2016'!F555+'2017'!F555+'2018'!F553</f>
        <v>8900</v>
      </c>
      <c r="K729" s="400">
        <f t="shared" si="74"/>
        <v>100</v>
      </c>
      <c r="L729" s="391"/>
      <c r="M729" s="457"/>
    </row>
    <row r="730" spans="1:13" ht="75" x14ac:dyDescent="0.25">
      <c r="A730" s="492">
        <v>230</v>
      </c>
      <c r="B730" s="384" t="s">
        <v>90</v>
      </c>
      <c r="C730" s="262" t="s">
        <v>14</v>
      </c>
      <c r="D730" s="262" t="s">
        <v>16</v>
      </c>
      <c r="E730" s="385">
        <f>E731</f>
        <v>2430</v>
      </c>
      <c r="F730" s="385">
        <f>F731</f>
        <v>2430</v>
      </c>
      <c r="G730" s="397">
        <f>F730/E730*100</f>
        <v>100</v>
      </c>
      <c r="H730" s="261">
        <v>100</v>
      </c>
      <c r="I730" s="385">
        <f>I731</f>
        <v>9660</v>
      </c>
      <c r="J730" s="385">
        <f>J731</f>
        <v>9660</v>
      </c>
      <c r="K730" s="397">
        <f t="shared" si="74"/>
        <v>100</v>
      </c>
      <c r="L730" s="261">
        <v>100</v>
      </c>
      <c r="M730" s="445"/>
    </row>
    <row r="731" spans="1:13" s="155" customFormat="1" x14ac:dyDescent="0.25">
      <c r="A731" s="492"/>
      <c r="B731" s="387" t="s">
        <v>13</v>
      </c>
      <c r="C731" s="388"/>
      <c r="D731" s="388"/>
      <c r="E731" s="389">
        <v>2430</v>
      </c>
      <c r="F731" s="389">
        <v>2430</v>
      </c>
      <c r="G731" s="400">
        <f>F731/E731*100</f>
        <v>100</v>
      </c>
      <c r="H731" s="391"/>
      <c r="I731" s="389">
        <f>E731+'2016'!E557+'2017'!E557+'2018'!E555</f>
        <v>9660</v>
      </c>
      <c r="J731" s="389">
        <f>F731+'2016'!F557+'2017'!F557+'2018'!F555</f>
        <v>9660</v>
      </c>
      <c r="K731" s="400">
        <f t="shared" si="74"/>
        <v>100</v>
      </c>
      <c r="L731" s="391"/>
      <c r="M731" s="458"/>
    </row>
    <row r="732" spans="1:13" ht="90" x14ac:dyDescent="0.25">
      <c r="A732" s="492">
        <v>231</v>
      </c>
      <c r="B732" s="384" t="s">
        <v>91</v>
      </c>
      <c r="C732" s="262" t="s">
        <v>92</v>
      </c>
      <c r="D732" s="262" t="s">
        <v>16</v>
      </c>
      <c r="E732" s="385">
        <f>E733</f>
        <v>4935</v>
      </c>
      <c r="F732" s="385">
        <f>F733</f>
        <v>4935</v>
      </c>
      <c r="G732" s="397">
        <f t="shared" ref="G732:G737" si="75">F732/E732*100</f>
        <v>100</v>
      </c>
      <c r="H732" s="261">
        <v>100</v>
      </c>
      <c r="I732" s="385">
        <f>I733</f>
        <v>19886</v>
      </c>
      <c r="J732" s="385">
        <f>J733</f>
        <v>19886</v>
      </c>
      <c r="K732" s="397">
        <f t="shared" si="74"/>
        <v>100</v>
      </c>
      <c r="L732" s="485">
        <v>100</v>
      </c>
      <c r="M732" s="445"/>
    </row>
    <row r="733" spans="1:13" s="155" customFormat="1" x14ac:dyDescent="0.25">
      <c r="A733" s="492"/>
      <c r="B733" s="387" t="s">
        <v>13</v>
      </c>
      <c r="C733" s="388"/>
      <c r="D733" s="388"/>
      <c r="E733" s="389">
        <v>4935</v>
      </c>
      <c r="F733" s="389">
        <v>4935</v>
      </c>
      <c r="G733" s="400">
        <f t="shared" si="75"/>
        <v>100</v>
      </c>
      <c r="H733" s="391"/>
      <c r="I733" s="389">
        <f>E733+'2016'!E559+'2017'!E559+'2018'!E557</f>
        <v>19886</v>
      </c>
      <c r="J733" s="389">
        <f>F733+'2016'!F559+'2017'!F559+'2018'!F557</f>
        <v>19886</v>
      </c>
      <c r="K733" s="400">
        <f t="shared" si="74"/>
        <v>100</v>
      </c>
      <c r="L733" s="391"/>
      <c r="M733" s="458"/>
    </row>
    <row r="734" spans="1:13" ht="75" x14ac:dyDescent="0.25">
      <c r="A734" s="492">
        <v>232</v>
      </c>
      <c r="B734" s="384" t="s">
        <v>93</v>
      </c>
      <c r="C734" s="262" t="s">
        <v>92</v>
      </c>
      <c r="D734" s="262" t="s">
        <v>16</v>
      </c>
      <c r="E734" s="385">
        <f>E735</f>
        <v>4849</v>
      </c>
      <c r="F734" s="385">
        <f>F735</f>
        <v>4849</v>
      </c>
      <c r="G734" s="397">
        <f t="shared" si="75"/>
        <v>100</v>
      </c>
      <c r="H734" s="261">
        <v>100</v>
      </c>
      <c r="I734" s="385">
        <f>I735</f>
        <v>19515</v>
      </c>
      <c r="J734" s="385">
        <f>J735</f>
        <v>19515</v>
      </c>
      <c r="K734" s="397">
        <f t="shared" si="74"/>
        <v>100</v>
      </c>
      <c r="L734" s="485">
        <v>100</v>
      </c>
      <c r="M734" s="445"/>
    </row>
    <row r="735" spans="1:13" s="155" customFormat="1" x14ac:dyDescent="0.25">
      <c r="A735" s="492"/>
      <c r="B735" s="387" t="s">
        <v>13</v>
      </c>
      <c r="C735" s="388"/>
      <c r="D735" s="388"/>
      <c r="E735" s="389">
        <v>4849</v>
      </c>
      <c r="F735" s="389">
        <v>4849</v>
      </c>
      <c r="G735" s="400">
        <f t="shared" si="75"/>
        <v>100</v>
      </c>
      <c r="H735" s="391"/>
      <c r="I735" s="389">
        <f>E735+'2016'!E561+'2017'!E561+'2018'!E559</f>
        <v>19515</v>
      </c>
      <c r="J735" s="389">
        <f>F735+'2016'!F561+'2017'!F561+'2018'!F559</f>
        <v>19515</v>
      </c>
      <c r="K735" s="400">
        <f t="shared" si="74"/>
        <v>100</v>
      </c>
      <c r="L735" s="391"/>
      <c r="M735" s="458"/>
    </row>
    <row r="736" spans="1:13" x14ac:dyDescent="0.25">
      <c r="A736" s="492"/>
      <c r="B736" s="394" t="s">
        <v>54</v>
      </c>
      <c r="C736" s="262"/>
      <c r="D736" s="262"/>
      <c r="E736" s="395">
        <f>E729+E731+E733+E735</f>
        <v>14464</v>
      </c>
      <c r="F736" s="395">
        <f>F729+F731+F733+F735</f>
        <v>14464</v>
      </c>
      <c r="G736" s="399">
        <f t="shared" si="75"/>
        <v>100</v>
      </c>
      <c r="H736" s="261"/>
      <c r="I736" s="395">
        <f>I729+I731+I733+I735</f>
        <v>57961</v>
      </c>
      <c r="J736" s="395">
        <f>J729+J731+J733+J735</f>
        <v>57961</v>
      </c>
      <c r="K736" s="399">
        <f t="shared" si="74"/>
        <v>100</v>
      </c>
      <c r="L736" s="261"/>
      <c r="M736" s="445"/>
    </row>
    <row r="737" spans="1:13" s="155" customFormat="1" x14ac:dyDescent="0.25">
      <c r="A737" s="492"/>
      <c r="B737" s="387" t="s">
        <v>13</v>
      </c>
      <c r="C737" s="388"/>
      <c r="D737" s="388"/>
      <c r="E737" s="389">
        <f>E729+E731+E733+E735</f>
        <v>14464</v>
      </c>
      <c r="F737" s="389">
        <f>F729+F731+F733+F735</f>
        <v>14464</v>
      </c>
      <c r="G737" s="400">
        <f t="shared" si="75"/>
        <v>100</v>
      </c>
      <c r="H737" s="391"/>
      <c r="I737" s="389">
        <f>I729+I731+I733+I735</f>
        <v>57961</v>
      </c>
      <c r="J737" s="389">
        <f>J729+J731+J733+J735</f>
        <v>57961</v>
      </c>
      <c r="K737" s="400">
        <f t="shared" si="74"/>
        <v>100</v>
      </c>
      <c r="L737" s="391"/>
      <c r="M737" s="458"/>
    </row>
    <row r="738" spans="1:13" x14ac:dyDescent="0.25">
      <c r="A738" s="564" t="s">
        <v>94</v>
      </c>
      <c r="B738" s="564"/>
      <c r="C738" s="564"/>
      <c r="D738" s="564"/>
      <c r="E738" s="564"/>
      <c r="F738" s="564"/>
      <c r="G738" s="564"/>
      <c r="H738" s="564"/>
      <c r="I738" s="564"/>
      <c r="J738" s="564"/>
      <c r="K738" s="564"/>
      <c r="L738" s="564"/>
      <c r="M738" s="564"/>
    </row>
    <row r="739" spans="1:13" ht="35.25" customHeight="1" x14ac:dyDescent="0.25">
      <c r="A739" s="492">
        <v>233</v>
      </c>
      <c r="B739" s="384" t="s">
        <v>95</v>
      </c>
      <c r="C739" s="262" t="s">
        <v>14</v>
      </c>
      <c r="D739" s="262" t="s">
        <v>16</v>
      </c>
      <c r="E739" s="385">
        <f>E740</f>
        <v>1200</v>
      </c>
      <c r="F739" s="385">
        <f>F740</f>
        <v>1194.6400000000001</v>
      </c>
      <c r="G739" s="397">
        <f t="shared" ref="G739:G746" si="76">F739/E739*100</f>
        <v>99.553333333333342</v>
      </c>
      <c r="H739" s="261">
        <v>100</v>
      </c>
      <c r="I739" s="385">
        <f>I740</f>
        <v>4670</v>
      </c>
      <c r="J739" s="385">
        <f>J740</f>
        <v>4539.6400000000003</v>
      </c>
      <c r="K739" s="397">
        <f t="shared" si="74"/>
        <v>97.208565310492517</v>
      </c>
      <c r="L739" s="261">
        <v>100</v>
      </c>
      <c r="M739" s="262"/>
    </row>
    <row r="740" spans="1:13" s="155" customFormat="1" x14ac:dyDescent="0.25">
      <c r="A740" s="492"/>
      <c r="B740" s="387" t="s">
        <v>13</v>
      </c>
      <c r="C740" s="388"/>
      <c r="D740" s="388"/>
      <c r="E740" s="389">
        <v>1200</v>
      </c>
      <c r="F740" s="389">
        <v>1194.6400000000001</v>
      </c>
      <c r="G740" s="400">
        <f t="shared" si="76"/>
        <v>99.553333333333342</v>
      </c>
      <c r="H740" s="391"/>
      <c r="I740" s="389">
        <f>E740+'2016'!E566+'2017'!E566+'2018'!E564</f>
        <v>4670</v>
      </c>
      <c r="J740" s="389">
        <f>F740+'2016'!F566+'2017'!F566+'2018'!F564</f>
        <v>4539.6400000000003</v>
      </c>
      <c r="K740" s="400">
        <f t="shared" si="74"/>
        <v>97.208565310492517</v>
      </c>
      <c r="L740" s="391"/>
      <c r="M740" s="436"/>
    </row>
    <row r="741" spans="1:13" ht="95.25" customHeight="1" x14ac:dyDescent="0.25">
      <c r="A741" s="492">
        <v>234</v>
      </c>
      <c r="B741" s="384" t="s">
        <v>96</v>
      </c>
      <c r="C741" s="262" t="s">
        <v>14</v>
      </c>
      <c r="D741" s="262" t="s">
        <v>16</v>
      </c>
      <c r="E741" s="385">
        <f>E742</f>
        <v>3900</v>
      </c>
      <c r="F741" s="385">
        <f>F742</f>
        <v>3335</v>
      </c>
      <c r="G741" s="397">
        <f t="shared" si="76"/>
        <v>85.512820512820511</v>
      </c>
      <c r="H741" s="261">
        <v>100</v>
      </c>
      <c r="I741" s="385">
        <f>I742</f>
        <v>16900</v>
      </c>
      <c r="J741" s="385">
        <f>J742</f>
        <v>16228.220000000001</v>
      </c>
      <c r="K741" s="397">
        <f t="shared" si="74"/>
        <v>96.024970414201192</v>
      </c>
      <c r="L741" s="261">
        <v>100</v>
      </c>
      <c r="M741" s="262"/>
    </row>
    <row r="742" spans="1:13" s="155" customFormat="1" x14ac:dyDescent="0.25">
      <c r="A742" s="492"/>
      <c r="B742" s="387" t="s">
        <v>13</v>
      </c>
      <c r="C742" s="388"/>
      <c r="D742" s="388"/>
      <c r="E742" s="389">
        <v>3900</v>
      </c>
      <c r="F742" s="389">
        <v>3335</v>
      </c>
      <c r="G742" s="400">
        <f t="shared" si="76"/>
        <v>85.512820512820511</v>
      </c>
      <c r="H742" s="391"/>
      <c r="I742" s="389">
        <f>E742+'2016'!E568+'2017'!E568+'2018'!E566</f>
        <v>16900</v>
      </c>
      <c r="J742" s="389">
        <f>F742+'2016'!F568+'2017'!F568+'2018'!F566</f>
        <v>16228.220000000001</v>
      </c>
      <c r="K742" s="400">
        <f t="shared" si="74"/>
        <v>96.024970414201192</v>
      </c>
      <c r="L742" s="391"/>
      <c r="M742" s="388"/>
    </row>
    <row r="743" spans="1:13" ht="79.5" customHeight="1" x14ac:dyDescent="0.25">
      <c r="A743" s="492">
        <v>235</v>
      </c>
      <c r="B743" s="384" t="s">
        <v>97</v>
      </c>
      <c r="C743" s="262" t="s">
        <v>14</v>
      </c>
      <c r="D743" s="262" t="s">
        <v>16</v>
      </c>
      <c r="E743" s="385">
        <f>E744</f>
        <v>3708</v>
      </c>
      <c r="F743" s="385">
        <f>F744</f>
        <v>3708</v>
      </c>
      <c r="G743" s="397">
        <f t="shared" si="76"/>
        <v>100</v>
      </c>
      <c r="H743" s="261">
        <v>100</v>
      </c>
      <c r="I743" s="385">
        <f>I744</f>
        <v>30824</v>
      </c>
      <c r="J743" s="385">
        <f>J744</f>
        <v>30446.58</v>
      </c>
      <c r="K743" s="397">
        <f t="shared" si="74"/>
        <v>98.775564495198552</v>
      </c>
      <c r="L743" s="261">
        <v>100</v>
      </c>
      <c r="M743" s="262"/>
    </row>
    <row r="744" spans="1:13" s="155" customFormat="1" x14ac:dyDescent="0.25">
      <c r="A744" s="492"/>
      <c r="B744" s="387" t="s">
        <v>13</v>
      </c>
      <c r="C744" s="388"/>
      <c r="D744" s="388"/>
      <c r="E744" s="389">
        <v>3708</v>
      </c>
      <c r="F744" s="389">
        <v>3708</v>
      </c>
      <c r="G744" s="400">
        <f t="shared" si="76"/>
        <v>100</v>
      </c>
      <c r="H744" s="391"/>
      <c r="I744" s="389">
        <f>E744+'2016'!E570+'2017'!E570+'2018'!E568</f>
        <v>30824</v>
      </c>
      <c r="J744" s="389">
        <f>F744+'2016'!F570+'2017'!F570+'2018'!F568</f>
        <v>30446.58</v>
      </c>
      <c r="K744" s="400">
        <f t="shared" si="74"/>
        <v>98.775564495198552</v>
      </c>
      <c r="L744" s="391"/>
      <c r="M744" s="388"/>
    </row>
    <row r="745" spans="1:13" ht="46.5" customHeight="1" x14ac:dyDescent="0.25">
      <c r="A745" s="492">
        <v>236</v>
      </c>
      <c r="B745" s="384" t="s">
        <v>98</v>
      </c>
      <c r="C745" s="262" t="s">
        <v>14</v>
      </c>
      <c r="D745" s="262" t="s">
        <v>16</v>
      </c>
      <c r="E745" s="385">
        <f>E746</f>
        <v>10126</v>
      </c>
      <c r="F745" s="385">
        <f>F746</f>
        <v>9874.77</v>
      </c>
      <c r="G745" s="397">
        <f t="shared" si="76"/>
        <v>97.518961090262692</v>
      </c>
      <c r="H745" s="261">
        <v>100</v>
      </c>
      <c r="I745" s="385">
        <f>I746</f>
        <v>83782</v>
      </c>
      <c r="J745" s="385">
        <f>J746</f>
        <v>75739.8</v>
      </c>
      <c r="K745" s="397">
        <f t="shared" si="74"/>
        <v>90.401040796352433</v>
      </c>
      <c r="L745" s="261">
        <v>100</v>
      </c>
      <c r="M745" s="384"/>
    </row>
    <row r="746" spans="1:13" s="155" customFormat="1" x14ac:dyDescent="0.25">
      <c r="A746" s="492"/>
      <c r="B746" s="387" t="s">
        <v>13</v>
      </c>
      <c r="C746" s="388"/>
      <c r="D746" s="388"/>
      <c r="E746" s="389">
        <v>10126</v>
      </c>
      <c r="F746" s="389">
        <v>9874.77</v>
      </c>
      <c r="G746" s="400">
        <f t="shared" si="76"/>
        <v>97.518961090262692</v>
      </c>
      <c r="H746" s="391"/>
      <c r="I746" s="389">
        <f>E746+'2016'!E572+'2017'!E572+'2018'!E570</f>
        <v>83782</v>
      </c>
      <c r="J746" s="389">
        <f>F746+'2016'!F572+'2017'!F572+'2018'!F570</f>
        <v>75739.8</v>
      </c>
      <c r="K746" s="400">
        <f t="shared" si="74"/>
        <v>90.401040796352433</v>
      </c>
      <c r="L746" s="391"/>
      <c r="M746" s="388"/>
    </row>
    <row r="747" spans="1:13" s="155" customFormat="1" ht="60" x14ac:dyDescent="0.25">
      <c r="A747" s="492">
        <v>237</v>
      </c>
      <c r="B747" s="384" t="s">
        <v>300</v>
      </c>
      <c r="C747" s="262" t="s">
        <v>14</v>
      </c>
      <c r="D747" s="262" t="s">
        <v>290</v>
      </c>
      <c r="E747" s="385"/>
      <c r="F747" s="385"/>
      <c r="G747" s="397"/>
      <c r="H747" s="261"/>
      <c r="I747" s="385">
        <f>I748</f>
        <v>413616</v>
      </c>
      <c r="J747" s="385">
        <f>J748</f>
        <v>413611.95999999996</v>
      </c>
      <c r="K747" s="397">
        <f t="shared" si="74"/>
        <v>99.999023248617064</v>
      </c>
      <c r="L747" s="261">
        <v>100</v>
      </c>
      <c r="M747" s="388"/>
    </row>
    <row r="748" spans="1:13" s="155" customFormat="1" x14ac:dyDescent="0.25">
      <c r="A748" s="492"/>
      <c r="B748" s="387" t="s">
        <v>13</v>
      </c>
      <c r="C748" s="388"/>
      <c r="D748" s="388"/>
      <c r="E748" s="389"/>
      <c r="F748" s="389"/>
      <c r="G748" s="400"/>
      <c r="H748" s="391"/>
      <c r="I748" s="389">
        <f>'2017'!E574+'2018'!E572</f>
        <v>413616</v>
      </c>
      <c r="J748" s="389">
        <f>'2017'!F574+'2018'!F572</f>
        <v>413611.95999999996</v>
      </c>
      <c r="K748" s="400">
        <f t="shared" si="74"/>
        <v>99.999023248617064</v>
      </c>
      <c r="L748" s="391"/>
      <c r="M748" s="388"/>
    </row>
    <row r="749" spans="1:13" x14ac:dyDescent="0.25">
      <c r="A749" s="492"/>
      <c r="B749" s="394" t="s">
        <v>54</v>
      </c>
      <c r="C749" s="262"/>
      <c r="D749" s="262"/>
      <c r="E749" s="395">
        <f>E739+E741+E743+E745+E747</f>
        <v>18934</v>
      </c>
      <c r="F749" s="395">
        <f>F739+F741+F743+F745+F747</f>
        <v>18112.41</v>
      </c>
      <c r="G749" s="399">
        <f>F749/E749*100</f>
        <v>95.660768987007501</v>
      </c>
      <c r="H749" s="261"/>
      <c r="I749" s="395">
        <f>I739+I741+I743+I745+I747</f>
        <v>549792</v>
      </c>
      <c r="J749" s="395">
        <f>J739+J741+J743+J745+J747</f>
        <v>540566.19999999995</v>
      </c>
      <c r="K749" s="399">
        <f t="shared" si="74"/>
        <v>98.32194720912635</v>
      </c>
      <c r="L749" s="261"/>
      <c r="M749" s="445"/>
    </row>
    <row r="750" spans="1:13" s="155" customFormat="1" x14ac:dyDescent="0.25">
      <c r="A750" s="492"/>
      <c r="B750" s="387" t="s">
        <v>13</v>
      </c>
      <c r="C750" s="388"/>
      <c r="D750" s="388"/>
      <c r="E750" s="389">
        <f>E740+E742+E744+E746+E748</f>
        <v>18934</v>
      </c>
      <c r="F750" s="389">
        <f>F740+F742+F744+F746+F748</f>
        <v>18112.41</v>
      </c>
      <c r="G750" s="400">
        <f>F750/E750*100</f>
        <v>95.660768987007501</v>
      </c>
      <c r="H750" s="391"/>
      <c r="I750" s="389">
        <f>I740+I742+I744+I746+I748</f>
        <v>549792</v>
      </c>
      <c r="J750" s="389">
        <f>J740+J742+J744+J746+J748</f>
        <v>540566.19999999995</v>
      </c>
      <c r="K750" s="400">
        <f t="shared" si="74"/>
        <v>98.32194720912635</v>
      </c>
      <c r="L750" s="391"/>
      <c r="M750" s="458"/>
    </row>
    <row r="751" spans="1:13" x14ac:dyDescent="0.25">
      <c r="A751" s="564" t="s">
        <v>99</v>
      </c>
      <c r="B751" s="564"/>
      <c r="C751" s="564"/>
      <c r="D751" s="564"/>
      <c r="E751" s="564"/>
      <c r="F751" s="564"/>
      <c r="G751" s="564"/>
      <c r="H751" s="564"/>
      <c r="I751" s="564"/>
      <c r="J751" s="564"/>
      <c r="K751" s="564"/>
      <c r="L751" s="564"/>
      <c r="M751" s="564"/>
    </row>
    <row r="752" spans="1:13" ht="31.5" customHeight="1" x14ac:dyDescent="0.25">
      <c r="A752" s="492">
        <v>238</v>
      </c>
      <c r="B752" s="384" t="s">
        <v>100</v>
      </c>
      <c r="C752" s="262" t="s">
        <v>50</v>
      </c>
      <c r="D752" s="262" t="s">
        <v>16</v>
      </c>
      <c r="E752" s="385">
        <f>E753</f>
        <v>4200</v>
      </c>
      <c r="F752" s="385">
        <f>F753</f>
        <v>4200</v>
      </c>
      <c r="G752" s="397">
        <f t="shared" ref="G752:G753" si="77">F752/E752*100</f>
        <v>100</v>
      </c>
      <c r="H752" s="261">
        <v>100</v>
      </c>
      <c r="I752" s="385">
        <f>I753</f>
        <v>14830</v>
      </c>
      <c r="J752" s="385">
        <f>J753</f>
        <v>14830</v>
      </c>
      <c r="K752" s="397">
        <f t="shared" si="74"/>
        <v>100</v>
      </c>
      <c r="L752" s="488">
        <v>100</v>
      </c>
      <c r="M752" s="445"/>
    </row>
    <row r="753" spans="1:13" s="155" customFormat="1" x14ac:dyDescent="0.25">
      <c r="A753" s="492"/>
      <c r="B753" s="387" t="s">
        <v>13</v>
      </c>
      <c r="C753" s="388"/>
      <c r="D753" s="388"/>
      <c r="E753" s="389">
        <v>4200</v>
      </c>
      <c r="F753" s="389">
        <v>4200</v>
      </c>
      <c r="G753" s="400">
        <f t="shared" si="77"/>
        <v>100</v>
      </c>
      <c r="H753" s="391"/>
      <c r="I753" s="389">
        <f>E753+'2016'!E577+'2017'!E579+'2018'!E577</f>
        <v>14830</v>
      </c>
      <c r="J753" s="389">
        <f>F753+'2016'!F577+'2017'!F579+'2018'!F577</f>
        <v>14830</v>
      </c>
      <c r="K753" s="400">
        <f t="shared" si="74"/>
        <v>100</v>
      </c>
      <c r="L753" s="391"/>
      <c r="M753" s="458"/>
    </row>
    <row r="754" spans="1:13" x14ac:dyDescent="0.25">
      <c r="A754" s="492"/>
      <c r="B754" s="394" t="s">
        <v>54</v>
      </c>
      <c r="C754" s="262"/>
      <c r="D754" s="262"/>
      <c r="E754" s="395">
        <f>E755</f>
        <v>4200</v>
      </c>
      <c r="F754" s="395">
        <f>F755</f>
        <v>4200</v>
      </c>
      <c r="G754" s="399">
        <f t="shared" ref="G754:G755" si="78">G752</f>
        <v>100</v>
      </c>
      <c r="H754" s="261"/>
      <c r="I754" s="395">
        <f>I755</f>
        <v>14830</v>
      </c>
      <c r="J754" s="395">
        <f>J755</f>
        <v>14830</v>
      </c>
      <c r="K754" s="399">
        <f t="shared" si="74"/>
        <v>100</v>
      </c>
      <c r="L754" s="261"/>
      <c r="M754" s="445"/>
    </row>
    <row r="755" spans="1:13" s="155" customFormat="1" x14ac:dyDescent="0.25">
      <c r="A755" s="492"/>
      <c r="B755" s="387" t="s">
        <v>13</v>
      </c>
      <c r="C755" s="388"/>
      <c r="D755" s="388"/>
      <c r="E755" s="389">
        <v>4200</v>
      </c>
      <c r="F755" s="389">
        <f>F753</f>
        <v>4200</v>
      </c>
      <c r="G755" s="400">
        <f t="shared" si="78"/>
        <v>100</v>
      </c>
      <c r="H755" s="391"/>
      <c r="I755" s="389">
        <f>I753</f>
        <v>14830</v>
      </c>
      <c r="J755" s="389">
        <f>J753</f>
        <v>14830</v>
      </c>
      <c r="K755" s="400">
        <f t="shared" si="74"/>
        <v>100</v>
      </c>
      <c r="L755" s="391"/>
      <c r="M755" s="458"/>
    </row>
    <row r="756" spans="1:13" s="155" customFormat="1" ht="15" customHeight="1" x14ac:dyDescent="0.25">
      <c r="A756" s="564" t="s">
        <v>592</v>
      </c>
      <c r="B756" s="564"/>
      <c r="C756" s="564"/>
      <c r="D756" s="564"/>
      <c r="E756" s="564"/>
      <c r="F756" s="564"/>
      <c r="G756" s="564"/>
      <c r="H756" s="564"/>
      <c r="I756" s="564"/>
      <c r="J756" s="564"/>
      <c r="K756" s="564"/>
      <c r="L756" s="564"/>
      <c r="M756" s="564"/>
    </row>
    <row r="757" spans="1:13" s="155" customFormat="1" ht="83.25" customHeight="1" x14ac:dyDescent="0.25">
      <c r="A757" s="492">
        <v>239</v>
      </c>
      <c r="B757" s="384" t="s">
        <v>593</v>
      </c>
      <c r="C757" s="467" t="s">
        <v>103</v>
      </c>
      <c r="D757" s="467" t="s">
        <v>595</v>
      </c>
      <c r="E757" s="385">
        <f>E758</f>
        <v>9400</v>
      </c>
      <c r="F757" s="385">
        <f>F758</f>
        <v>0</v>
      </c>
      <c r="G757" s="397">
        <f t="shared" ref="G757:G762" si="79">F757/E757*100</f>
        <v>0</v>
      </c>
      <c r="H757" s="485">
        <v>100</v>
      </c>
      <c r="I757" s="385">
        <f>I758</f>
        <v>23462</v>
      </c>
      <c r="J757" s="385">
        <f>J758</f>
        <v>14062</v>
      </c>
      <c r="K757" s="397">
        <f t="shared" si="74"/>
        <v>59.935214389225131</v>
      </c>
      <c r="L757" s="485">
        <v>100</v>
      </c>
      <c r="M757" s="489" t="s">
        <v>636</v>
      </c>
    </row>
    <row r="758" spans="1:13" s="155" customFormat="1" x14ac:dyDescent="0.25">
      <c r="A758" s="492"/>
      <c r="B758" s="387" t="s">
        <v>13</v>
      </c>
      <c r="C758" s="388"/>
      <c r="D758" s="388"/>
      <c r="E758" s="389">
        <v>9400</v>
      </c>
      <c r="F758" s="389"/>
      <c r="G758" s="400">
        <f t="shared" si="79"/>
        <v>0</v>
      </c>
      <c r="H758" s="391"/>
      <c r="I758" s="389">
        <f>E758+'2016'!E582+'2017'!E584</f>
        <v>23462</v>
      </c>
      <c r="J758" s="389">
        <f>F758+'2016'!F582+'2017'!F584</f>
        <v>14062</v>
      </c>
      <c r="K758" s="400">
        <f t="shared" si="74"/>
        <v>59.935214389225131</v>
      </c>
      <c r="L758" s="391"/>
      <c r="M758" s="458"/>
    </row>
    <row r="759" spans="1:13" s="155" customFormat="1" ht="45" x14ac:dyDescent="0.25">
      <c r="A759" s="492">
        <v>240</v>
      </c>
      <c r="B759" s="384" t="s">
        <v>594</v>
      </c>
      <c r="C759" s="467" t="s">
        <v>103</v>
      </c>
      <c r="D759" s="467" t="s">
        <v>595</v>
      </c>
      <c r="E759" s="385">
        <f>E760</f>
        <v>8800</v>
      </c>
      <c r="F759" s="385">
        <f>F760</f>
        <v>0</v>
      </c>
      <c r="G759" s="397">
        <f t="shared" si="79"/>
        <v>0</v>
      </c>
      <c r="H759" s="391"/>
      <c r="I759" s="385">
        <f>I760</f>
        <v>21862.1</v>
      </c>
      <c r="J759" s="385">
        <f>J760</f>
        <v>13062.1</v>
      </c>
      <c r="K759" s="397">
        <f t="shared" si="74"/>
        <v>59.747691209902079</v>
      </c>
      <c r="L759" s="391"/>
      <c r="M759" s="458"/>
    </row>
    <row r="760" spans="1:13" s="155" customFormat="1" x14ac:dyDescent="0.25">
      <c r="A760" s="492"/>
      <c r="B760" s="387" t="s">
        <v>13</v>
      </c>
      <c r="C760" s="388"/>
      <c r="D760" s="388"/>
      <c r="E760" s="389">
        <v>8800</v>
      </c>
      <c r="F760" s="389"/>
      <c r="G760" s="400">
        <f t="shared" si="79"/>
        <v>0</v>
      </c>
      <c r="H760" s="391"/>
      <c r="I760" s="389">
        <f>E760+'2016'!E584+'2017'!E586</f>
        <v>21862.1</v>
      </c>
      <c r="J760" s="389">
        <f>F760+'2016'!F584+'2017'!F586</f>
        <v>13062.1</v>
      </c>
      <c r="K760" s="400">
        <f t="shared" si="74"/>
        <v>59.747691209902079</v>
      </c>
      <c r="L760" s="391"/>
      <c r="M760" s="458"/>
    </row>
    <row r="761" spans="1:13" s="155" customFormat="1" x14ac:dyDescent="0.25">
      <c r="A761" s="492"/>
      <c r="B761" s="394" t="s">
        <v>54</v>
      </c>
      <c r="C761" s="388"/>
      <c r="D761" s="388"/>
      <c r="E761" s="395">
        <f>E762</f>
        <v>18200</v>
      </c>
      <c r="F761" s="395">
        <f>F762</f>
        <v>0</v>
      </c>
      <c r="G761" s="399">
        <f t="shared" si="79"/>
        <v>0</v>
      </c>
      <c r="H761" s="391"/>
      <c r="I761" s="395">
        <f>I762</f>
        <v>45324.1</v>
      </c>
      <c r="J761" s="395">
        <f>J762</f>
        <v>27124.1</v>
      </c>
      <c r="K761" s="399">
        <f t="shared" si="74"/>
        <v>59.844762499420831</v>
      </c>
      <c r="L761" s="391"/>
      <c r="M761" s="458"/>
    </row>
    <row r="762" spans="1:13" s="155" customFormat="1" x14ac:dyDescent="0.25">
      <c r="A762" s="492"/>
      <c r="B762" s="387" t="s">
        <v>13</v>
      </c>
      <c r="C762" s="388"/>
      <c r="D762" s="388"/>
      <c r="E762" s="389">
        <f>E760+E758</f>
        <v>18200</v>
      </c>
      <c r="F762" s="389">
        <f>F760+F758</f>
        <v>0</v>
      </c>
      <c r="G762" s="400">
        <f t="shared" si="79"/>
        <v>0</v>
      </c>
      <c r="H762" s="391"/>
      <c r="I762" s="389">
        <f>I760+I758</f>
        <v>45324.1</v>
      </c>
      <c r="J762" s="389">
        <f>J760+J758</f>
        <v>27124.1</v>
      </c>
      <c r="K762" s="400">
        <f t="shared" si="74"/>
        <v>59.844762499420831</v>
      </c>
      <c r="L762" s="391"/>
      <c r="M762" s="458"/>
    </row>
    <row r="763" spans="1:13" x14ac:dyDescent="0.25">
      <c r="A763" s="564" t="s">
        <v>105</v>
      </c>
      <c r="B763" s="564"/>
      <c r="C763" s="564"/>
      <c r="D763" s="564"/>
      <c r="E763" s="564"/>
      <c r="F763" s="564"/>
      <c r="G763" s="564"/>
      <c r="H763" s="564"/>
      <c r="I763" s="564"/>
      <c r="J763" s="564"/>
      <c r="K763" s="564"/>
      <c r="L763" s="564"/>
      <c r="M763" s="564"/>
    </row>
    <row r="764" spans="1:13" ht="30" x14ac:dyDescent="0.25">
      <c r="A764" s="492">
        <v>241</v>
      </c>
      <c r="B764" s="384" t="s">
        <v>106</v>
      </c>
      <c r="C764" s="262" t="s">
        <v>48</v>
      </c>
      <c r="D764" s="262" t="s">
        <v>16</v>
      </c>
      <c r="E764" s="385">
        <f>E765</f>
        <v>23220</v>
      </c>
      <c r="F764" s="385">
        <f>F765</f>
        <v>23220</v>
      </c>
      <c r="G764" s="397">
        <f t="shared" ref="G764:G767" si="80">F764/E764*100</f>
        <v>100</v>
      </c>
      <c r="H764" s="261">
        <v>100</v>
      </c>
      <c r="I764" s="385">
        <f>I765</f>
        <v>89971.4</v>
      </c>
      <c r="J764" s="385">
        <f>J765</f>
        <v>89971.4</v>
      </c>
      <c r="K764" s="397">
        <f t="shared" si="74"/>
        <v>100</v>
      </c>
      <c r="L764" s="261">
        <v>100</v>
      </c>
      <c r="M764" s="384"/>
    </row>
    <row r="765" spans="1:13" s="155" customFormat="1" x14ac:dyDescent="0.25">
      <c r="A765" s="492"/>
      <c r="B765" s="387" t="s">
        <v>13</v>
      </c>
      <c r="C765" s="388"/>
      <c r="D765" s="388"/>
      <c r="E765" s="389">
        <v>23220</v>
      </c>
      <c r="F765" s="389">
        <v>23220</v>
      </c>
      <c r="G765" s="400">
        <f t="shared" si="80"/>
        <v>100</v>
      </c>
      <c r="H765" s="391"/>
      <c r="I765" s="389">
        <f>E765+'2016'!E589+'2017'!E591+'2018'!E582</f>
        <v>89971.4</v>
      </c>
      <c r="J765" s="389">
        <f>F765+'2016'!F589+'2017'!F591+'2018'!F582</f>
        <v>89971.4</v>
      </c>
      <c r="K765" s="400">
        <f t="shared" si="74"/>
        <v>100</v>
      </c>
      <c r="L765" s="391"/>
      <c r="M765" s="387"/>
    </row>
    <row r="766" spans="1:13" x14ac:dyDescent="0.25">
      <c r="A766" s="492"/>
      <c r="B766" s="394" t="s">
        <v>54</v>
      </c>
      <c r="C766" s="262"/>
      <c r="D766" s="262"/>
      <c r="E766" s="395">
        <f>E767</f>
        <v>23220</v>
      </c>
      <c r="F766" s="395">
        <f>F767</f>
        <v>23220</v>
      </c>
      <c r="G766" s="399">
        <f t="shared" si="80"/>
        <v>100</v>
      </c>
      <c r="H766" s="261"/>
      <c r="I766" s="395">
        <f>I767</f>
        <v>89971.4</v>
      </c>
      <c r="J766" s="395">
        <f>J767</f>
        <v>89971.4</v>
      </c>
      <c r="K766" s="399">
        <f t="shared" si="74"/>
        <v>100</v>
      </c>
      <c r="L766" s="261"/>
      <c r="M766" s="384"/>
    </row>
    <row r="767" spans="1:13" s="155" customFormat="1" x14ac:dyDescent="0.25">
      <c r="A767" s="492"/>
      <c r="B767" s="387" t="s">
        <v>13</v>
      </c>
      <c r="C767" s="388"/>
      <c r="D767" s="388"/>
      <c r="E767" s="389">
        <f>E765</f>
        <v>23220</v>
      </c>
      <c r="F767" s="389">
        <f>F765</f>
        <v>23220</v>
      </c>
      <c r="G767" s="400">
        <f t="shared" si="80"/>
        <v>100</v>
      </c>
      <c r="H767" s="391"/>
      <c r="I767" s="389">
        <f>I765</f>
        <v>89971.4</v>
      </c>
      <c r="J767" s="389">
        <f>J765</f>
        <v>89971.4</v>
      </c>
      <c r="K767" s="400">
        <f t="shared" si="74"/>
        <v>100</v>
      </c>
      <c r="L767" s="391"/>
      <c r="M767" s="387"/>
    </row>
    <row r="768" spans="1:13" x14ac:dyDescent="0.25">
      <c r="A768" s="564" t="s">
        <v>107</v>
      </c>
      <c r="B768" s="564"/>
      <c r="C768" s="564"/>
      <c r="D768" s="564"/>
      <c r="E768" s="564"/>
      <c r="F768" s="564"/>
      <c r="G768" s="564"/>
      <c r="H768" s="564"/>
      <c r="I768" s="564"/>
      <c r="J768" s="564"/>
      <c r="K768" s="564"/>
      <c r="L768" s="564"/>
      <c r="M768" s="564"/>
    </row>
    <row r="769" spans="1:13" ht="45" x14ac:dyDescent="0.25">
      <c r="A769" s="492">
        <v>242</v>
      </c>
      <c r="B769" s="384" t="s">
        <v>108</v>
      </c>
      <c r="C769" s="262" t="s">
        <v>50</v>
      </c>
      <c r="D769" s="262" t="s">
        <v>16</v>
      </c>
      <c r="E769" s="385">
        <f>E770+E771</f>
        <v>9000</v>
      </c>
      <c r="F769" s="385">
        <f>F770+F771</f>
        <v>9000</v>
      </c>
      <c r="G769" s="397">
        <f t="shared" ref="G769:G792" si="81">F769/E769*100</f>
        <v>100</v>
      </c>
      <c r="H769" s="261">
        <v>100</v>
      </c>
      <c r="I769" s="385">
        <f>I770+I771</f>
        <v>31930</v>
      </c>
      <c r="J769" s="385">
        <f>J770+J771</f>
        <v>31897</v>
      </c>
      <c r="K769" s="397">
        <f t="shared" si="74"/>
        <v>99.896648919511435</v>
      </c>
      <c r="L769" s="488">
        <v>100</v>
      </c>
      <c r="M769" s="384"/>
    </row>
    <row r="770" spans="1:13" s="155" customFormat="1" x14ac:dyDescent="0.25">
      <c r="A770" s="492"/>
      <c r="B770" s="387" t="s">
        <v>13</v>
      </c>
      <c r="C770" s="388"/>
      <c r="D770" s="388"/>
      <c r="E770" s="389">
        <v>6500</v>
      </c>
      <c r="F770" s="389">
        <v>6500</v>
      </c>
      <c r="G770" s="400">
        <f t="shared" si="81"/>
        <v>100</v>
      </c>
      <c r="H770" s="391"/>
      <c r="I770" s="389">
        <f>E770+'2016'!E594+'2017'!E596+'2018'!E587</f>
        <v>21930</v>
      </c>
      <c r="J770" s="389">
        <f>F770+'2016'!F594+'2017'!F596+'2018'!F587</f>
        <v>21897</v>
      </c>
      <c r="K770" s="400">
        <f t="shared" si="74"/>
        <v>99.849521203830378</v>
      </c>
      <c r="L770" s="391"/>
      <c r="M770" s="387"/>
    </row>
    <row r="771" spans="1:13" s="155" customFormat="1" ht="22.5" customHeight="1" x14ac:dyDescent="0.25">
      <c r="A771" s="492"/>
      <c r="B771" s="387" t="s">
        <v>139</v>
      </c>
      <c r="C771" s="388"/>
      <c r="D771" s="388"/>
      <c r="E771" s="389">
        <v>2500</v>
      </c>
      <c r="F771" s="389">
        <v>2500</v>
      </c>
      <c r="G771" s="400">
        <f t="shared" si="81"/>
        <v>100</v>
      </c>
      <c r="H771" s="391"/>
      <c r="I771" s="389">
        <f>E771+'2016'!E595+'2017'!E597+'2018'!E588</f>
        <v>10000</v>
      </c>
      <c r="J771" s="389">
        <f>F771+'2016'!F595+'2017'!F597+'2018'!F588</f>
        <v>10000</v>
      </c>
      <c r="K771" s="400">
        <f t="shared" si="74"/>
        <v>100</v>
      </c>
      <c r="L771" s="391"/>
      <c r="M771" s="387"/>
    </row>
    <row r="772" spans="1:13" ht="45" x14ac:dyDescent="0.25">
      <c r="A772" s="492">
        <v>243</v>
      </c>
      <c r="B772" s="384" t="s">
        <v>109</v>
      </c>
      <c r="C772" s="262" t="s">
        <v>50</v>
      </c>
      <c r="D772" s="262" t="s">
        <v>16</v>
      </c>
      <c r="E772" s="385">
        <f>E773+E774</f>
        <v>8400</v>
      </c>
      <c r="F772" s="385">
        <f>F773+F774</f>
        <v>8400</v>
      </c>
      <c r="G772" s="397">
        <f t="shared" si="81"/>
        <v>100</v>
      </c>
      <c r="H772" s="261">
        <v>100</v>
      </c>
      <c r="I772" s="385">
        <f>I773+I774</f>
        <v>30130</v>
      </c>
      <c r="J772" s="385">
        <f>J773+J774</f>
        <v>30130</v>
      </c>
      <c r="K772" s="397">
        <f t="shared" si="74"/>
        <v>100</v>
      </c>
      <c r="L772" s="488">
        <v>100</v>
      </c>
      <c r="M772" s="384"/>
    </row>
    <row r="773" spans="1:13" s="155" customFormat="1" x14ac:dyDescent="0.25">
      <c r="A773" s="492"/>
      <c r="B773" s="387" t="s">
        <v>13</v>
      </c>
      <c r="C773" s="388"/>
      <c r="D773" s="388"/>
      <c r="E773" s="389">
        <v>5900</v>
      </c>
      <c r="F773" s="389">
        <v>5900</v>
      </c>
      <c r="G773" s="400">
        <f t="shared" si="81"/>
        <v>100</v>
      </c>
      <c r="H773" s="391"/>
      <c r="I773" s="389">
        <f>E773+'2016'!E597+'2017'!E599+'2018'!E590</f>
        <v>20130</v>
      </c>
      <c r="J773" s="389">
        <f>F773+'2016'!F597+'2017'!F599+'2018'!F590</f>
        <v>20130</v>
      </c>
      <c r="K773" s="400">
        <f t="shared" si="74"/>
        <v>100</v>
      </c>
      <c r="L773" s="391"/>
      <c r="M773" s="387"/>
    </row>
    <row r="774" spans="1:13" s="155" customFormat="1" ht="30" x14ac:dyDescent="0.25">
      <c r="A774" s="492"/>
      <c r="B774" s="387" t="s">
        <v>139</v>
      </c>
      <c r="C774" s="388"/>
      <c r="D774" s="388"/>
      <c r="E774" s="389">
        <v>2500</v>
      </c>
      <c r="F774" s="389">
        <v>2500</v>
      </c>
      <c r="G774" s="400">
        <f t="shared" si="81"/>
        <v>100</v>
      </c>
      <c r="H774" s="391"/>
      <c r="I774" s="389">
        <f>E774+'2016'!E598+'2017'!E600+'2018'!E591</f>
        <v>10000</v>
      </c>
      <c r="J774" s="389">
        <f>F774+'2016'!F598+'2017'!F600+'2018'!F591</f>
        <v>10000</v>
      </c>
      <c r="K774" s="400">
        <f t="shared" si="74"/>
        <v>100</v>
      </c>
      <c r="L774" s="391"/>
      <c r="M774" s="387"/>
    </row>
    <row r="775" spans="1:13" ht="90" x14ac:dyDescent="0.25">
      <c r="A775" s="492">
        <v>244</v>
      </c>
      <c r="B775" s="384" t="s">
        <v>110</v>
      </c>
      <c r="C775" s="262" t="s">
        <v>50</v>
      </c>
      <c r="D775" s="262" t="s">
        <v>16</v>
      </c>
      <c r="E775" s="385">
        <f>E776+E777</f>
        <v>13500</v>
      </c>
      <c r="F775" s="385">
        <f>F776+F777</f>
        <v>13500</v>
      </c>
      <c r="G775" s="397">
        <f t="shared" si="81"/>
        <v>100</v>
      </c>
      <c r="H775" s="261">
        <v>100</v>
      </c>
      <c r="I775" s="385">
        <f>I776+I777</f>
        <v>47970</v>
      </c>
      <c r="J775" s="385">
        <f>J776+J777</f>
        <v>47970</v>
      </c>
      <c r="K775" s="397">
        <f t="shared" si="74"/>
        <v>100</v>
      </c>
      <c r="L775" s="488">
        <v>100</v>
      </c>
      <c r="M775" s="384"/>
    </row>
    <row r="776" spans="1:13" s="155" customFormat="1" x14ac:dyDescent="0.25">
      <c r="A776" s="492"/>
      <c r="B776" s="387" t="s">
        <v>13</v>
      </c>
      <c r="C776" s="388"/>
      <c r="D776" s="388"/>
      <c r="E776" s="389">
        <v>8500</v>
      </c>
      <c r="F776" s="389">
        <v>8500</v>
      </c>
      <c r="G776" s="400">
        <f t="shared" si="81"/>
        <v>100</v>
      </c>
      <c r="H776" s="391"/>
      <c r="I776" s="389">
        <f>E776+'2016'!E600+'2017'!E602+'2018'!E593</f>
        <v>28970</v>
      </c>
      <c r="J776" s="389">
        <f>F776+'2016'!F600+'2017'!F602+'2018'!F593</f>
        <v>28970</v>
      </c>
      <c r="K776" s="400">
        <f t="shared" si="74"/>
        <v>100</v>
      </c>
      <c r="L776" s="391"/>
      <c r="M776" s="387"/>
    </row>
    <row r="777" spans="1:13" s="155" customFormat="1" ht="22.5" customHeight="1" x14ac:dyDescent="0.25">
      <c r="A777" s="492"/>
      <c r="B777" s="387" t="s">
        <v>139</v>
      </c>
      <c r="C777" s="388"/>
      <c r="D777" s="388"/>
      <c r="E777" s="389">
        <v>5000</v>
      </c>
      <c r="F777" s="389">
        <v>5000</v>
      </c>
      <c r="G777" s="400">
        <f t="shared" si="81"/>
        <v>100</v>
      </c>
      <c r="H777" s="391"/>
      <c r="I777" s="389">
        <f>E777+'2016'!E601+'2017'!E603+'2018'!E594</f>
        <v>19000</v>
      </c>
      <c r="J777" s="389">
        <f>F777+'2016'!F601+'2017'!F603+'2018'!F594</f>
        <v>19000</v>
      </c>
      <c r="K777" s="400">
        <f t="shared" si="74"/>
        <v>100</v>
      </c>
      <c r="L777" s="391"/>
      <c r="M777" s="387"/>
    </row>
    <row r="778" spans="1:13" ht="45" x14ac:dyDescent="0.25">
      <c r="A778" s="492">
        <v>245</v>
      </c>
      <c r="B778" s="384" t="s">
        <v>500</v>
      </c>
      <c r="C778" s="262" t="s">
        <v>50</v>
      </c>
      <c r="D778" s="262" t="s">
        <v>16</v>
      </c>
      <c r="E778" s="385">
        <f>E779</f>
        <v>5700</v>
      </c>
      <c r="F778" s="385">
        <f>F779</f>
        <v>5700</v>
      </c>
      <c r="G778" s="397">
        <f t="shared" si="81"/>
        <v>100</v>
      </c>
      <c r="H778" s="261">
        <v>100</v>
      </c>
      <c r="I778" s="385">
        <f>I779</f>
        <v>18700</v>
      </c>
      <c r="J778" s="385">
        <f>J779</f>
        <v>18700</v>
      </c>
      <c r="K778" s="397">
        <f t="shared" si="74"/>
        <v>100</v>
      </c>
      <c r="L778" s="488">
        <v>100</v>
      </c>
      <c r="M778" s="384"/>
    </row>
    <row r="779" spans="1:13" s="155" customFormat="1" x14ac:dyDescent="0.25">
      <c r="A779" s="492"/>
      <c r="B779" s="387" t="s">
        <v>13</v>
      </c>
      <c r="C779" s="388"/>
      <c r="D779" s="388"/>
      <c r="E779" s="389">
        <v>5700</v>
      </c>
      <c r="F779" s="389">
        <v>5700</v>
      </c>
      <c r="G779" s="400">
        <f t="shared" si="81"/>
        <v>100</v>
      </c>
      <c r="H779" s="391"/>
      <c r="I779" s="389">
        <f>E779+'2016'!E603+'2017'!E605+'2018'!E596</f>
        <v>18700</v>
      </c>
      <c r="J779" s="389">
        <f>F779+'2016'!F603+'2017'!F605+'2018'!F596</f>
        <v>18700</v>
      </c>
      <c r="K779" s="400">
        <f t="shared" si="74"/>
        <v>100</v>
      </c>
      <c r="L779" s="391"/>
      <c r="M779" s="387"/>
    </row>
    <row r="780" spans="1:13" ht="90" x14ac:dyDescent="0.25">
      <c r="A780" s="492">
        <v>246</v>
      </c>
      <c r="B780" s="384" t="s">
        <v>112</v>
      </c>
      <c r="C780" s="262" t="s">
        <v>50</v>
      </c>
      <c r="D780" s="262" t="s">
        <v>16</v>
      </c>
      <c r="E780" s="385">
        <f>E781+E782</f>
        <v>12000</v>
      </c>
      <c r="F780" s="385">
        <f>F781+F782</f>
        <v>12000</v>
      </c>
      <c r="G780" s="397">
        <f t="shared" si="81"/>
        <v>100</v>
      </c>
      <c r="H780" s="261">
        <v>100</v>
      </c>
      <c r="I780" s="385">
        <f>I781+I782</f>
        <v>42840</v>
      </c>
      <c r="J780" s="385">
        <f>J781+J782</f>
        <v>42840</v>
      </c>
      <c r="K780" s="397">
        <f t="shared" si="74"/>
        <v>100</v>
      </c>
      <c r="L780" s="488">
        <v>100</v>
      </c>
      <c r="M780" s="384"/>
    </row>
    <row r="781" spans="1:13" s="155" customFormat="1" x14ac:dyDescent="0.25">
      <c r="A781" s="492"/>
      <c r="B781" s="387" t="s">
        <v>13</v>
      </c>
      <c r="C781" s="388"/>
      <c r="D781" s="388"/>
      <c r="E781" s="389">
        <v>7000</v>
      </c>
      <c r="F781" s="389">
        <v>7000</v>
      </c>
      <c r="G781" s="400">
        <f t="shared" si="81"/>
        <v>100</v>
      </c>
      <c r="H781" s="391"/>
      <c r="I781" s="389">
        <f>E781+'2016'!E605+'2017'!E607+'2018'!E598</f>
        <v>23840</v>
      </c>
      <c r="J781" s="389">
        <f>F781+'2016'!F605+'2017'!F607+'2018'!F598</f>
        <v>23840</v>
      </c>
      <c r="K781" s="400">
        <f t="shared" si="74"/>
        <v>100</v>
      </c>
      <c r="L781" s="391"/>
      <c r="M781" s="387"/>
    </row>
    <row r="782" spans="1:13" s="155" customFormat="1" ht="20.25" customHeight="1" x14ac:dyDescent="0.25">
      <c r="A782" s="492"/>
      <c r="B782" s="387" t="s">
        <v>139</v>
      </c>
      <c r="C782" s="388"/>
      <c r="D782" s="388"/>
      <c r="E782" s="389">
        <v>5000</v>
      </c>
      <c r="F782" s="389">
        <v>5000</v>
      </c>
      <c r="G782" s="400">
        <f t="shared" si="81"/>
        <v>100</v>
      </c>
      <c r="H782" s="391"/>
      <c r="I782" s="389">
        <f>E782+'2016'!E606+'2017'!E608+'2018'!E599</f>
        <v>19000</v>
      </c>
      <c r="J782" s="389">
        <f>F782+'2016'!F606+'2017'!F608+'2018'!F599</f>
        <v>19000</v>
      </c>
      <c r="K782" s="400">
        <f t="shared" si="74"/>
        <v>100</v>
      </c>
      <c r="L782" s="391"/>
      <c r="M782" s="387"/>
    </row>
    <row r="783" spans="1:13" ht="90" x14ac:dyDescent="0.25">
      <c r="A783" s="492">
        <v>247</v>
      </c>
      <c r="B783" s="384" t="s">
        <v>113</v>
      </c>
      <c r="C783" s="262" t="s">
        <v>50</v>
      </c>
      <c r="D783" s="262" t="s">
        <v>16</v>
      </c>
      <c r="E783" s="385">
        <f>E784</f>
        <v>9200</v>
      </c>
      <c r="F783" s="385">
        <f>F784</f>
        <v>9200</v>
      </c>
      <c r="G783" s="397">
        <f t="shared" si="81"/>
        <v>100</v>
      </c>
      <c r="H783" s="261">
        <v>100</v>
      </c>
      <c r="I783" s="385">
        <f>I784</f>
        <v>30560</v>
      </c>
      <c r="J783" s="385">
        <f>J784</f>
        <v>30560</v>
      </c>
      <c r="K783" s="397">
        <f t="shared" si="74"/>
        <v>100</v>
      </c>
      <c r="L783" s="488">
        <v>100</v>
      </c>
      <c r="M783" s="384"/>
    </row>
    <row r="784" spans="1:13" s="155" customFormat="1" x14ac:dyDescent="0.25">
      <c r="A784" s="492"/>
      <c r="B784" s="387" t="s">
        <v>13</v>
      </c>
      <c r="C784" s="388"/>
      <c r="D784" s="388"/>
      <c r="E784" s="389">
        <v>9200</v>
      </c>
      <c r="F784" s="389">
        <v>9200</v>
      </c>
      <c r="G784" s="400">
        <f t="shared" si="81"/>
        <v>100</v>
      </c>
      <c r="H784" s="391"/>
      <c r="I784" s="389">
        <f>E784+'2016'!E608+'2017'!E610+'2018'!E601</f>
        <v>30560</v>
      </c>
      <c r="J784" s="389">
        <f>F784+'2016'!F608+'2017'!F610+'2018'!F601</f>
        <v>30560</v>
      </c>
      <c r="K784" s="400">
        <f t="shared" si="74"/>
        <v>100</v>
      </c>
      <c r="L784" s="391"/>
      <c r="M784" s="387"/>
    </row>
    <row r="785" spans="1:13" s="155" customFormat="1" ht="60" x14ac:dyDescent="0.25">
      <c r="A785" s="492">
        <v>248</v>
      </c>
      <c r="B785" s="384" t="s">
        <v>501</v>
      </c>
      <c r="C785" s="262" t="s">
        <v>50</v>
      </c>
      <c r="D785" s="262">
        <v>2018</v>
      </c>
      <c r="E785" s="385"/>
      <c r="F785" s="385"/>
      <c r="G785" s="400"/>
      <c r="H785" s="261"/>
      <c r="I785" s="385">
        <f>I786</f>
        <v>11500</v>
      </c>
      <c r="J785" s="385">
        <f>J786</f>
        <v>11500</v>
      </c>
      <c r="K785" s="397">
        <f t="shared" si="74"/>
        <v>100</v>
      </c>
      <c r="L785" s="261">
        <v>100</v>
      </c>
      <c r="M785" s="387"/>
    </row>
    <row r="786" spans="1:13" s="155" customFormat="1" ht="20.25" customHeight="1" x14ac:dyDescent="0.25">
      <c r="A786" s="492"/>
      <c r="B786" s="387" t="s">
        <v>139</v>
      </c>
      <c r="C786" s="388"/>
      <c r="D786" s="388"/>
      <c r="E786" s="389"/>
      <c r="F786" s="389"/>
      <c r="G786" s="400"/>
      <c r="H786" s="391"/>
      <c r="I786" s="389">
        <f>'2018'!E603</f>
        <v>11500</v>
      </c>
      <c r="J786" s="389">
        <f>'2018'!F603</f>
        <v>11500</v>
      </c>
      <c r="K786" s="400">
        <f t="shared" si="74"/>
        <v>100</v>
      </c>
      <c r="L786" s="391"/>
      <c r="M786" s="387"/>
    </row>
    <row r="787" spans="1:13" s="155" customFormat="1" ht="30" x14ac:dyDescent="0.25">
      <c r="A787" s="492">
        <v>249</v>
      </c>
      <c r="B787" s="384" t="s">
        <v>301</v>
      </c>
      <c r="C787" s="262" t="s">
        <v>50</v>
      </c>
      <c r="D787" s="262" t="s">
        <v>526</v>
      </c>
      <c r="E787" s="385">
        <f>E788+E789</f>
        <v>5000</v>
      </c>
      <c r="F787" s="385">
        <f>F788+F789</f>
        <v>5000</v>
      </c>
      <c r="G787" s="397">
        <f t="shared" si="81"/>
        <v>100</v>
      </c>
      <c r="H787" s="261">
        <v>100</v>
      </c>
      <c r="I787" s="385">
        <f>I788+I789</f>
        <v>15000</v>
      </c>
      <c r="J787" s="385">
        <f>J788+J789</f>
        <v>15000</v>
      </c>
      <c r="K787" s="397">
        <f t="shared" si="74"/>
        <v>100</v>
      </c>
      <c r="L787" s="488">
        <v>100</v>
      </c>
      <c r="M787" s="387"/>
    </row>
    <row r="788" spans="1:13" s="155" customFormat="1" x14ac:dyDescent="0.25">
      <c r="A788" s="492"/>
      <c r="B788" s="387" t="s">
        <v>13</v>
      </c>
      <c r="C788" s="467"/>
      <c r="D788" s="467"/>
      <c r="E788" s="389">
        <v>5000</v>
      </c>
      <c r="F788" s="389">
        <v>5000</v>
      </c>
      <c r="G788" s="397">
        <f t="shared" si="81"/>
        <v>100</v>
      </c>
      <c r="H788" s="468"/>
      <c r="I788" s="389">
        <v>5000</v>
      </c>
      <c r="J788" s="389">
        <v>5000</v>
      </c>
      <c r="K788" s="400">
        <f t="shared" si="74"/>
        <v>100</v>
      </c>
      <c r="L788" s="468"/>
      <c r="M788" s="387"/>
    </row>
    <row r="789" spans="1:13" s="155" customFormat="1" ht="22.5" customHeight="1" x14ac:dyDescent="0.25">
      <c r="A789" s="492"/>
      <c r="B789" s="387" t="s">
        <v>139</v>
      </c>
      <c r="C789" s="388"/>
      <c r="D789" s="388"/>
      <c r="E789" s="389"/>
      <c r="F789" s="389"/>
      <c r="G789" s="400"/>
      <c r="H789" s="391"/>
      <c r="I789" s="389">
        <f>E789+'2017'!E612+'2018'!E605</f>
        <v>10000</v>
      </c>
      <c r="J789" s="389">
        <f>F789+'2017'!F612+'2018'!F605</f>
        <v>10000</v>
      </c>
      <c r="K789" s="400">
        <f t="shared" si="74"/>
        <v>100</v>
      </c>
      <c r="L789" s="391"/>
      <c r="M789" s="387"/>
    </row>
    <row r="790" spans="1:13" x14ac:dyDescent="0.25">
      <c r="A790" s="492"/>
      <c r="B790" s="394" t="s">
        <v>54</v>
      </c>
      <c r="C790" s="262"/>
      <c r="D790" s="262"/>
      <c r="E790" s="395">
        <f>E791+E792</f>
        <v>62800</v>
      </c>
      <c r="F790" s="395">
        <f>F791+F792</f>
        <v>62800</v>
      </c>
      <c r="G790" s="399">
        <f t="shared" si="81"/>
        <v>100</v>
      </c>
      <c r="H790" s="261"/>
      <c r="I790" s="395">
        <f>I791+I792</f>
        <v>228630</v>
      </c>
      <c r="J790" s="395">
        <f>J791+J792</f>
        <v>228597</v>
      </c>
      <c r="K790" s="399">
        <f t="shared" si="74"/>
        <v>99.985566198661587</v>
      </c>
      <c r="L790" s="261"/>
      <c r="M790" s="384"/>
    </row>
    <row r="791" spans="1:13" s="155" customFormat="1" x14ac:dyDescent="0.25">
      <c r="A791" s="492"/>
      <c r="B791" s="387" t="s">
        <v>13</v>
      </c>
      <c r="C791" s="388"/>
      <c r="D791" s="388"/>
      <c r="E791" s="389">
        <f>E770+E773+E776+E779+E781+E784+E788</f>
        <v>47800</v>
      </c>
      <c r="F791" s="389">
        <f>F770+F773+F776+F779+F781+F784+F788</f>
        <v>47800</v>
      </c>
      <c r="G791" s="400">
        <f t="shared" si="81"/>
        <v>100</v>
      </c>
      <c r="H791" s="391"/>
      <c r="I791" s="389">
        <f>I770+I773+I776+I779+I781+I784+I788</f>
        <v>149130</v>
      </c>
      <c r="J791" s="389">
        <f>J770+J773+J776+J779+J781+J784+J788</f>
        <v>149097</v>
      </c>
      <c r="K791" s="400">
        <f t="shared" si="74"/>
        <v>99.977871655602485</v>
      </c>
      <c r="L791" s="391"/>
      <c r="M791" s="387"/>
    </row>
    <row r="792" spans="1:13" s="155" customFormat="1" ht="30" x14ac:dyDescent="0.25">
      <c r="A792" s="492"/>
      <c r="B792" s="387" t="s">
        <v>139</v>
      </c>
      <c r="C792" s="388"/>
      <c r="D792" s="388"/>
      <c r="E792" s="389">
        <f>E771+E774+E777+E782+E786+E789</f>
        <v>15000</v>
      </c>
      <c r="F792" s="389">
        <f>F771+F774+F777+F782+F786+F789</f>
        <v>15000</v>
      </c>
      <c r="G792" s="400">
        <f t="shared" si="81"/>
        <v>100</v>
      </c>
      <c r="H792" s="391"/>
      <c r="I792" s="389">
        <f>I771+I774+I777+I782+I786+I789</f>
        <v>79500</v>
      </c>
      <c r="J792" s="389">
        <f>J771+J774+J777+J782+J786+J789</f>
        <v>79500</v>
      </c>
      <c r="K792" s="400">
        <f t="shared" ref="K792" si="82">J792/I792*100</f>
        <v>100</v>
      </c>
      <c r="L792" s="391"/>
      <c r="M792" s="387"/>
    </row>
    <row r="793" spans="1:13" x14ac:dyDescent="0.25">
      <c r="A793" s="564" t="s">
        <v>114</v>
      </c>
      <c r="B793" s="564"/>
      <c r="C793" s="564"/>
      <c r="D793" s="564"/>
      <c r="E793" s="564"/>
      <c r="F793" s="564"/>
      <c r="G793" s="564"/>
      <c r="H793" s="564"/>
      <c r="I793" s="564"/>
      <c r="J793" s="564"/>
      <c r="K793" s="564"/>
      <c r="L793" s="564"/>
      <c r="M793" s="564"/>
    </row>
    <row r="794" spans="1:13" ht="45" x14ac:dyDescent="0.25">
      <c r="A794" s="492">
        <v>250</v>
      </c>
      <c r="B794" s="384" t="s">
        <v>115</v>
      </c>
      <c r="C794" s="262" t="s">
        <v>50</v>
      </c>
      <c r="D794" s="262" t="s">
        <v>16</v>
      </c>
      <c r="E794" s="385">
        <f>E795</f>
        <v>3000</v>
      </c>
      <c r="F794" s="385">
        <f>F795</f>
        <v>3000</v>
      </c>
      <c r="G794" s="397">
        <f>F794/E794*100</f>
        <v>100</v>
      </c>
      <c r="H794" s="261">
        <v>100</v>
      </c>
      <c r="I794" s="385">
        <f>I795</f>
        <v>10160</v>
      </c>
      <c r="J794" s="385">
        <f>J795</f>
        <v>10160</v>
      </c>
      <c r="K794" s="397">
        <f t="shared" ref="K794:K839" si="83">J794/I794*100</f>
        <v>100</v>
      </c>
      <c r="L794" s="488">
        <v>100</v>
      </c>
      <c r="M794" s="393"/>
    </row>
    <row r="795" spans="1:13" s="155" customFormat="1" x14ac:dyDescent="0.25">
      <c r="A795" s="492"/>
      <c r="B795" s="387" t="s">
        <v>13</v>
      </c>
      <c r="C795" s="388"/>
      <c r="D795" s="388"/>
      <c r="E795" s="389">
        <v>3000</v>
      </c>
      <c r="F795" s="389">
        <v>3000</v>
      </c>
      <c r="G795" s="400">
        <f t="shared" ref="G795:G811" si="84">F795/E795*100</f>
        <v>100</v>
      </c>
      <c r="H795" s="391"/>
      <c r="I795" s="389">
        <f>E795+'2016'!E615+'2017'!E619+'2018'!E612</f>
        <v>10160</v>
      </c>
      <c r="J795" s="389">
        <f>F795+'2016'!F615+'2017'!F619+'2018'!F612</f>
        <v>10160</v>
      </c>
      <c r="K795" s="400">
        <f t="shared" si="83"/>
        <v>100</v>
      </c>
      <c r="L795" s="391"/>
      <c r="M795" s="459"/>
    </row>
    <row r="796" spans="1:13" ht="45" x14ac:dyDescent="0.25">
      <c r="A796" s="492">
        <v>251</v>
      </c>
      <c r="B796" s="384" t="s">
        <v>116</v>
      </c>
      <c r="C796" s="262" t="s">
        <v>50</v>
      </c>
      <c r="D796" s="262" t="s">
        <v>16</v>
      </c>
      <c r="E796" s="385">
        <f>E797</f>
        <v>3000</v>
      </c>
      <c r="F796" s="385">
        <f>F797</f>
        <v>3000</v>
      </c>
      <c r="G796" s="397">
        <f t="shared" si="84"/>
        <v>100</v>
      </c>
      <c r="H796" s="261">
        <v>100</v>
      </c>
      <c r="I796" s="385">
        <f>I797</f>
        <v>10160</v>
      </c>
      <c r="J796" s="385">
        <f>J797</f>
        <v>10160</v>
      </c>
      <c r="K796" s="397">
        <f t="shared" si="83"/>
        <v>100</v>
      </c>
      <c r="L796" s="488">
        <v>100</v>
      </c>
      <c r="M796" s="393"/>
    </row>
    <row r="797" spans="1:13" s="155" customFormat="1" x14ac:dyDescent="0.25">
      <c r="A797" s="492"/>
      <c r="B797" s="387" t="s">
        <v>13</v>
      </c>
      <c r="C797" s="388"/>
      <c r="D797" s="388"/>
      <c r="E797" s="389">
        <v>3000</v>
      </c>
      <c r="F797" s="389">
        <v>3000</v>
      </c>
      <c r="G797" s="400">
        <f t="shared" si="84"/>
        <v>100</v>
      </c>
      <c r="H797" s="391"/>
      <c r="I797" s="389">
        <f>E797+'2016'!E617+'2017'!E621+'2018'!E614</f>
        <v>10160</v>
      </c>
      <c r="J797" s="389">
        <f>F797+'2016'!F617+'2017'!F621+'2018'!F614</f>
        <v>10160</v>
      </c>
      <c r="K797" s="400">
        <f t="shared" si="83"/>
        <v>100</v>
      </c>
      <c r="L797" s="391"/>
      <c r="M797" s="459"/>
    </row>
    <row r="798" spans="1:13" ht="60" x14ac:dyDescent="0.25">
      <c r="A798" s="492">
        <v>252</v>
      </c>
      <c r="B798" s="384" t="s">
        <v>117</v>
      </c>
      <c r="C798" s="262" t="s">
        <v>50</v>
      </c>
      <c r="D798" s="262" t="s">
        <v>16</v>
      </c>
      <c r="E798" s="385">
        <f>E799</f>
        <v>7000</v>
      </c>
      <c r="F798" s="385">
        <f>F799</f>
        <v>7000</v>
      </c>
      <c r="G798" s="397">
        <f t="shared" si="84"/>
        <v>100</v>
      </c>
      <c r="H798" s="261">
        <v>100</v>
      </c>
      <c r="I798" s="385">
        <f>I799</f>
        <v>24040</v>
      </c>
      <c r="J798" s="385">
        <f>J799</f>
        <v>24040</v>
      </c>
      <c r="K798" s="397">
        <f t="shared" si="83"/>
        <v>100</v>
      </c>
      <c r="L798" s="488">
        <v>100</v>
      </c>
      <c r="M798" s="393"/>
    </row>
    <row r="799" spans="1:13" s="155" customFormat="1" x14ac:dyDescent="0.25">
      <c r="A799" s="492"/>
      <c r="B799" s="387" t="s">
        <v>13</v>
      </c>
      <c r="C799" s="388"/>
      <c r="D799" s="388"/>
      <c r="E799" s="389">
        <v>7000</v>
      </c>
      <c r="F799" s="389">
        <v>7000</v>
      </c>
      <c r="G799" s="400">
        <f t="shared" si="84"/>
        <v>100</v>
      </c>
      <c r="H799" s="391"/>
      <c r="I799" s="389">
        <f>E799+'2016'!E619+'2017'!E623+'2018'!E616</f>
        <v>24040</v>
      </c>
      <c r="J799" s="389">
        <f>F799+'2016'!F619+'2017'!F623+'2018'!F616</f>
        <v>24040</v>
      </c>
      <c r="K799" s="400">
        <f t="shared" si="83"/>
        <v>100</v>
      </c>
      <c r="L799" s="391"/>
      <c r="M799" s="459"/>
    </row>
    <row r="800" spans="1:13" ht="75" x14ac:dyDescent="0.25">
      <c r="A800" s="492">
        <v>253</v>
      </c>
      <c r="B800" s="384" t="s">
        <v>118</v>
      </c>
      <c r="C800" s="262" t="s">
        <v>50</v>
      </c>
      <c r="D800" s="262" t="s">
        <v>16</v>
      </c>
      <c r="E800" s="385">
        <f>E801</f>
        <v>3700</v>
      </c>
      <c r="F800" s="385">
        <f>F801</f>
        <v>3700</v>
      </c>
      <c r="G800" s="397">
        <f t="shared" si="84"/>
        <v>100</v>
      </c>
      <c r="H800" s="261">
        <v>100</v>
      </c>
      <c r="I800" s="385">
        <f>I801</f>
        <v>12730</v>
      </c>
      <c r="J800" s="385">
        <f>J801</f>
        <v>12730</v>
      </c>
      <c r="K800" s="397">
        <f t="shared" si="83"/>
        <v>100</v>
      </c>
      <c r="L800" s="488">
        <v>100</v>
      </c>
      <c r="M800" s="393"/>
    </row>
    <row r="801" spans="1:13" s="155" customFormat="1" x14ac:dyDescent="0.25">
      <c r="A801" s="492"/>
      <c r="B801" s="387" t="s">
        <v>13</v>
      </c>
      <c r="C801" s="388"/>
      <c r="D801" s="388"/>
      <c r="E801" s="389">
        <v>3700</v>
      </c>
      <c r="F801" s="389">
        <v>3700</v>
      </c>
      <c r="G801" s="400">
        <f t="shared" si="84"/>
        <v>100</v>
      </c>
      <c r="H801" s="391"/>
      <c r="I801" s="389">
        <f>E801+'2016'!E621+'2017'!E625+'2018'!E618</f>
        <v>12730</v>
      </c>
      <c r="J801" s="389">
        <f>F801+'2016'!F621+'2017'!F625+'2018'!F618</f>
        <v>12730</v>
      </c>
      <c r="K801" s="400">
        <f t="shared" si="83"/>
        <v>100</v>
      </c>
      <c r="L801" s="391"/>
      <c r="M801" s="459"/>
    </row>
    <row r="802" spans="1:13" ht="45" x14ac:dyDescent="0.25">
      <c r="A802" s="492">
        <v>254</v>
      </c>
      <c r="B802" s="384" t="s">
        <v>119</v>
      </c>
      <c r="C802" s="262" t="s">
        <v>50</v>
      </c>
      <c r="D802" s="262" t="s">
        <v>16</v>
      </c>
      <c r="E802" s="385">
        <f>E803</f>
        <v>3700</v>
      </c>
      <c r="F802" s="385">
        <f>F803</f>
        <v>3700</v>
      </c>
      <c r="G802" s="397">
        <f t="shared" si="84"/>
        <v>100</v>
      </c>
      <c r="H802" s="261">
        <v>100</v>
      </c>
      <c r="I802" s="385">
        <f>I803</f>
        <v>12730</v>
      </c>
      <c r="J802" s="385">
        <f>J803</f>
        <v>12730</v>
      </c>
      <c r="K802" s="397">
        <f t="shared" si="83"/>
        <v>100</v>
      </c>
      <c r="L802" s="488">
        <v>100</v>
      </c>
      <c r="M802" s="393"/>
    </row>
    <row r="803" spans="1:13" s="155" customFormat="1" x14ac:dyDescent="0.25">
      <c r="A803" s="492"/>
      <c r="B803" s="387" t="s">
        <v>13</v>
      </c>
      <c r="C803" s="388"/>
      <c r="D803" s="388"/>
      <c r="E803" s="389">
        <v>3700</v>
      </c>
      <c r="F803" s="389">
        <v>3700</v>
      </c>
      <c r="G803" s="400">
        <f t="shared" si="84"/>
        <v>100</v>
      </c>
      <c r="H803" s="391"/>
      <c r="I803" s="389">
        <f>E803+'2016'!E623+'2017'!E627+'2018'!E620</f>
        <v>12730</v>
      </c>
      <c r="J803" s="389">
        <f>F803+'2016'!F623+'2017'!F627+'2018'!F620</f>
        <v>12730</v>
      </c>
      <c r="K803" s="400">
        <f t="shared" si="83"/>
        <v>100</v>
      </c>
      <c r="L803" s="391"/>
      <c r="M803" s="459"/>
    </row>
    <row r="804" spans="1:13" s="155" customFormat="1" ht="60" x14ac:dyDescent="0.25">
      <c r="A804" s="492">
        <v>255</v>
      </c>
      <c r="B804" s="384" t="s">
        <v>502</v>
      </c>
      <c r="C804" s="262" t="s">
        <v>50</v>
      </c>
      <c r="D804" s="262" t="s">
        <v>445</v>
      </c>
      <c r="E804" s="385">
        <f>E805</f>
        <v>2700</v>
      </c>
      <c r="F804" s="385">
        <f>F805</f>
        <v>2700</v>
      </c>
      <c r="G804" s="397">
        <f t="shared" si="84"/>
        <v>100</v>
      </c>
      <c r="H804" s="261">
        <v>100</v>
      </c>
      <c r="I804" s="385">
        <f>I805</f>
        <v>4720</v>
      </c>
      <c r="J804" s="385">
        <f>J805</f>
        <v>4720</v>
      </c>
      <c r="K804" s="397">
        <f t="shared" si="83"/>
        <v>100</v>
      </c>
      <c r="L804" s="488">
        <v>100</v>
      </c>
      <c r="M804" s="459"/>
    </row>
    <row r="805" spans="1:13" s="155" customFormat="1" x14ac:dyDescent="0.25">
      <c r="A805" s="492"/>
      <c r="B805" s="387" t="s">
        <v>13</v>
      </c>
      <c r="C805" s="388"/>
      <c r="D805" s="388"/>
      <c r="E805" s="389">
        <v>2700</v>
      </c>
      <c r="F805" s="389">
        <v>2700</v>
      </c>
      <c r="G805" s="400">
        <f t="shared" si="84"/>
        <v>100</v>
      </c>
      <c r="H805" s="391"/>
      <c r="I805" s="389">
        <f>E805+'2018'!E622</f>
        <v>4720</v>
      </c>
      <c r="J805" s="389">
        <f>F805+'2018'!F622</f>
        <v>4720</v>
      </c>
      <c r="K805" s="400">
        <f t="shared" si="83"/>
        <v>100</v>
      </c>
      <c r="L805" s="391"/>
      <c r="M805" s="459"/>
    </row>
    <row r="806" spans="1:13" ht="63.75" customHeight="1" x14ac:dyDescent="0.25">
      <c r="A806" s="492">
        <v>256</v>
      </c>
      <c r="B806" s="384" t="s">
        <v>120</v>
      </c>
      <c r="C806" s="262" t="s">
        <v>50</v>
      </c>
      <c r="D806" s="262" t="s">
        <v>16</v>
      </c>
      <c r="E806" s="385">
        <f>E807</f>
        <v>3000</v>
      </c>
      <c r="F806" s="385">
        <f>F807</f>
        <v>3000</v>
      </c>
      <c r="G806" s="397">
        <f t="shared" si="84"/>
        <v>100</v>
      </c>
      <c r="H806" s="261">
        <v>100</v>
      </c>
      <c r="I806" s="385">
        <f>I807</f>
        <v>10160</v>
      </c>
      <c r="J806" s="385">
        <f>J807</f>
        <v>10160</v>
      </c>
      <c r="K806" s="397">
        <f t="shared" si="83"/>
        <v>100</v>
      </c>
      <c r="L806" s="488">
        <v>100</v>
      </c>
      <c r="M806" s="393"/>
    </row>
    <row r="807" spans="1:13" s="155" customFormat="1" x14ac:dyDescent="0.25">
      <c r="A807" s="492"/>
      <c r="B807" s="387" t="s">
        <v>13</v>
      </c>
      <c r="C807" s="388"/>
      <c r="D807" s="388"/>
      <c r="E807" s="389">
        <v>3000</v>
      </c>
      <c r="F807" s="389">
        <v>3000</v>
      </c>
      <c r="G807" s="400">
        <f t="shared" si="84"/>
        <v>100</v>
      </c>
      <c r="H807" s="391"/>
      <c r="I807" s="389">
        <f>E807+'2016'!E625+'2017'!E629+'2018'!E624</f>
        <v>10160</v>
      </c>
      <c r="J807" s="389">
        <f>F807+'2016'!F625+'2017'!F629+'2018'!F624</f>
        <v>10160</v>
      </c>
      <c r="K807" s="400">
        <f t="shared" si="83"/>
        <v>100</v>
      </c>
      <c r="L807" s="391"/>
      <c r="M807" s="459"/>
    </row>
    <row r="808" spans="1:13" s="155" customFormat="1" ht="30" customHeight="1" x14ac:dyDescent="0.25">
      <c r="A808" s="492">
        <v>257</v>
      </c>
      <c r="B808" s="384" t="s">
        <v>302</v>
      </c>
      <c r="C808" s="262" t="s">
        <v>50</v>
      </c>
      <c r="D808" s="262" t="s">
        <v>290</v>
      </c>
      <c r="E808" s="385"/>
      <c r="F808" s="385"/>
      <c r="G808" s="397"/>
      <c r="H808" s="261"/>
      <c r="I808" s="385">
        <f>I809</f>
        <v>9050</v>
      </c>
      <c r="J808" s="385">
        <f>J809</f>
        <v>9050</v>
      </c>
      <c r="K808" s="397">
        <f t="shared" si="83"/>
        <v>100</v>
      </c>
      <c r="L808" s="261">
        <v>100</v>
      </c>
      <c r="M808" s="459"/>
    </row>
    <row r="809" spans="1:13" s="155" customFormat="1" x14ac:dyDescent="0.25">
      <c r="A809" s="492"/>
      <c r="B809" s="387" t="s">
        <v>13</v>
      </c>
      <c r="C809" s="388"/>
      <c r="D809" s="388"/>
      <c r="E809" s="389"/>
      <c r="F809" s="389"/>
      <c r="G809" s="400"/>
      <c r="H809" s="391"/>
      <c r="I809" s="389">
        <f>'2017'!E631+'2018'!E626</f>
        <v>9050</v>
      </c>
      <c r="J809" s="389">
        <f>'2017'!F631+'2018'!F626</f>
        <v>9050</v>
      </c>
      <c r="K809" s="400">
        <f t="shared" si="83"/>
        <v>100</v>
      </c>
      <c r="L809" s="391"/>
      <c r="M809" s="459"/>
    </row>
    <row r="810" spans="1:13" x14ac:dyDescent="0.25">
      <c r="A810" s="492"/>
      <c r="B810" s="394" t="s">
        <v>54</v>
      </c>
      <c r="C810" s="262"/>
      <c r="D810" s="262"/>
      <c r="E810" s="395">
        <f>E811</f>
        <v>26100</v>
      </c>
      <c r="F810" s="395">
        <f>F811</f>
        <v>26100</v>
      </c>
      <c r="G810" s="399">
        <f t="shared" si="84"/>
        <v>100</v>
      </c>
      <c r="H810" s="261"/>
      <c r="I810" s="395">
        <f>I811</f>
        <v>93750</v>
      </c>
      <c r="J810" s="395">
        <f>J811</f>
        <v>93750</v>
      </c>
      <c r="K810" s="399">
        <f t="shared" si="83"/>
        <v>100</v>
      </c>
      <c r="L810" s="261"/>
      <c r="M810" s="393"/>
    </row>
    <row r="811" spans="1:13" s="155" customFormat="1" x14ac:dyDescent="0.25">
      <c r="A811" s="492"/>
      <c r="B811" s="387" t="s">
        <v>13</v>
      </c>
      <c r="C811" s="388"/>
      <c r="D811" s="388"/>
      <c r="E811" s="389">
        <f>E795+E797+E799+E801+E803+E805+E807+E809</f>
        <v>26100</v>
      </c>
      <c r="F811" s="389">
        <f>F795+F797+F799+F801+F803+F805+F807+F809</f>
        <v>26100</v>
      </c>
      <c r="G811" s="400">
        <f t="shared" si="84"/>
        <v>100</v>
      </c>
      <c r="H811" s="391"/>
      <c r="I811" s="389">
        <f>I795+I797+I799+I801+I803+I805+I807+I809</f>
        <v>93750</v>
      </c>
      <c r="J811" s="389">
        <f>J795+J797+J799+J801+J803+J805+J807+J809</f>
        <v>93750</v>
      </c>
      <c r="K811" s="400">
        <f t="shared" si="83"/>
        <v>100</v>
      </c>
      <c r="L811" s="391"/>
      <c r="M811" s="459"/>
    </row>
    <row r="812" spans="1:13" x14ac:dyDescent="0.25">
      <c r="A812" s="564" t="s">
        <v>121</v>
      </c>
      <c r="B812" s="564"/>
      <c r="C812" s="564"/>
      <c r="D812" s="564"/>
      <c r="E812" s="564"/>
      <c r="F812" s="564"/>
      <c r="G812" s="564"/>
      <c r="H812" s="564"/>
      <c r="I812" s="564"/>
      <c r="J812" s="564"/>
      <c r="K812" s="564"/>
      <c r="L812" s="564"/>
      <c r="M812" s="564"/>
    </row>
    <row r="813" spans="1:13" ht="180" x14ac:dyDescent="0.25">
      <c r="A813" s="492">
        <v>258</v>
      </c>
      <c r="B813" s="384" t="s">
        <v>122</v>
      </c>
      <c r="C813" s="262" t="s">
        <v>50</v>
      </c>
      <c r="D813" s="262" t="s">
        <v>16</v>
      </c>
      <c r="E813" s="385">
        <f>E814</f>
        <v>18200</v>
      </c>
      <c r="F813" s="385">
        <f>F814</f>
        <v>18200</v>
      </c>
      <c r="G813" s="397">
        <f>F813/E813*100</f>
        <v>100</v>
      </c>
      <c r="H813" s="261">
        <v>100</v>
      </c>
      <c r="I813" s="385">
        <f>I814</f>
        <v>63200</v>
      </c>
      <c r="J813" s="385">
        <f>J814</f>
        <v>63200</v>
      </c>
      <c r="K813" s="397">
        <f t="shared" si="83"/>
        <v>100</v>
      </c>
      <c r="L813" s="488">
        <v>100</v>
      </c>
      <c r="M813" s="393"/>
    </row>
    <row r="814" spans="1:13" s="155" customFormat="1" x14ac:dyDescent="0.25">
      <c r="A814" s="492"/>
      <c r="B814" s="387" t="s">
        <v>13</v>
      </c>
      <c r="C814" s="388"/>
      <c r="D814" s="388"/>
      <c r="E814" s="389">
        <v>18200</v>
      </c>
      <c r="F814" s="389">
        <v>18200</v>
      </c>
      <c r="G814" s="400">
        <f>F814/E814*100</f>
        <v>100</v>
      </c>
      <c r="H814" s="410"/>
      <c r="I814" s="389">
        <f>E814+'2016'!E630+'2017'!E636+'2018'!E631</f>
        <v>63200</v>
      </c>
      <c r="J814" s="389">
        <f>F814+'2016'!F630+'2017'!F636+'2018'!F631</f>
        <v>63200</v>
      </c>
      <c r="K814" s="400">
        <f t="shared" si="83"/>
        <v>100</v>
      </c>
      <c r="L814" s="410"/>
      <c r="M814" s="459"/>
    </row>
    <row r="815" spans="1:13" x14ac:dyDescent="0.25">
      <c r="A815" s="492"/>
      <c r="B815" s="394" t="s">
        <v>54</v>
      </c>
      <c r="C815" s="262"/>
      <c r="D815" s="262"/>
      <c r="E815" s="395">
        <f>E816</f>
        <v>18200</v>
      </c>
      <c r="F815" s="395">
        <f>F816</f>
        <v>18200</v>
      </c>
      <c r="G815" s="399">
        <f t="shared" ref="G815:G816" si="85">F815/E815*100</f>
        <v>100</v>
      </c>
      <c r="H815" s="435"/>
      <c r="I815" s="395">
        <f>I816</f>
        <v>63200</v>
      </c>
      <c r="J815" s="395">
        <f>J816</f>
        <v>63200</v>
      </c>
      <c r="K815" s="399">
        <f t="shared" si="83"/>
        <v>100</v>
      </c>
      <c r="L815" s="435"/>
      <c r="M815" s="393"/>
    </row>
    <row r="816" spans="1:13" s="155" customFormat="1" x14ac:dyDescent="0.25">
      <c r="A816" s="492"/>
      <c r="B816" s="387" t="s">
        <v>13</v>
      </c>
      <c r="C816" s="388"/>
      <c r="D816" s="388"/>
      <c r="E816" s="389">
        <f>E814</f>
        <v>18200</v>
      </c>
      <c r="F816" s="389">
        <f>F814</f>
        <v>18200</v>
      </c>
      <c r="G816" s="436">
        <f t="shared" si="85"/>
        <v>100</v>
      </c>
      <c r="H816" s="410"/>
      <c r="I816" s="389">
        <f>I814</f>
        <v>63200</v>
      </c>
      <c r="J816" s="389">
        <f>J814</f>
        <v>63200</v>
      </c>
      <c r="K816" s="400">
        <f t="shared" si="83"/>
        <v>100</v>
      </c>
      <c r="L816" s="410"/>
      <c r="M816" s="459"/>
    </row>
    <row r="817" spans="1:13" x14ac:dyDescent="0.25">
      <c r="A817" s="564" t="s">
        <v>123</v>
      </c>
      <c r="B817" s="564"/>
      <c r="C817" s="564"/>
      <c r="D817" s="564"/>
      <c r="E817" s="564"/>
      <c r="F817" s="564"/>
      <c r="G817" s="564"/>
      <c r="H817" s="564"/>
      <c r="I817" s="564"/>
      <c r="J817" s="564"/>
      <c r="K817" s="564"/>
      <c r="L817" s="564"/>
      <c r="M817" s="564"/>
    </row>
    <row r="818" spans="1:13" ht="90" x14ac:dyDescent="0.25">
      <c r="A818" s="492">
        <v>259</v>
      </c>
      <c r="B818" s="384" t="s">
        <v>124</v>
      </c>
      <c r="C818" s="262" t="s">
        <v>14</v>
      </c>
      <c r="D818" s="262" t="s">
        <v>16</v>
      </c>
      <c r="E818" s="385">
        <f>E819</f>
        <v>1306500</v>
      </c>
      <c r="F818" s="385">
        <f>F819</f>
        <v>836759.3</v>
      </c>
      <c r="G818" s="397">
        <f>F818/E818*100</f>
        <v>64.045870646766161</v>
      </c>
      <c r="H818" s="261">
        <v>100</v>
      </c>
      <c r="I818" s="385">
        <f>I819</f>
        <v>3546300</v>
      </c>
      <c r="J818" s="385">
        <f>J819</f>
        <v>3460168.26</v>
      </c>
      <c r="K818" s="397">
        <f t="shared" si="83"/>
        <v>97.571222400812104</v>
      </c>
      <c r="L818" s="261"/>
      <c r="M818" s="445"/>
    </row>
    <row r="819" spans="1:13" s="155" customFormat="1" x14ac:dyDescent="0.25">
      <c r="A819" s="492"/>
      <c r="B819" s="387" t="s">
        <v>19</v>
      </c>
      <c r="C819" s="388"/>
      <c r="D819" s="388"/>
      <c r="E819" s="389">
        <v>1306500</v>
      </c>
      <c r="F819" s="389">
        <v>836759.3</v>
      </c>
      <c r="G819" s="400">
        <f>F819/E819*100</f>
        <v>64.045870646766161</v>
      </c>
      <c r="H819" s="391"/>
      <c r="I819" s="389">
        <f>E819+'2016'!E635+'2017'!E641+'2018'!E636</f>
        <v>3546300</v>
      </c>
      <c r="J819" s="389">
        <f>F819+'2016'!F635+'2017'!F641+'2018'!F636</f>
        <v>3460168.26</v>
      </c>
      <c r="K819" s="400">
        <f t="shared" si="83"/>
        <v>97.571222400812104</v>
      </c>
      <c r="L819" s="391"/>
      <c r="M819" s="458"/>
    </row>
    <row r="820" spans="1:13" ht="90" x14ac:dyDescent="0.25">
      <c r="A820" s="492">
        <v>260</v>
      </c>
      <c r="B820" s="384" t="s">
        <v>125</v>
      </c>
      <c r="C820" s="262" t="s">
        <v>14</v>
      </c>
      <c r="D820" s="262" t="s">
        <v>16</v>
      </c>
      <c r="E820" s="385">
        <f>E821</f>
        <v>658500</v>
      </c>
      <c r="F820" s="385">
        <f>F821</f>
        <v>452965.08</v>
      </c>
      <c r="G820" s="397">
        <f t="shared" ref="G820:G827" si="86">F820/E820*100</f>
        <v>68.787407744874713</v>
      </c>
      <c r="H820" s="261">
        <v>100</v>
      </c>
      <c r="I820" s="385">
        <f>I821</f>
        <v>1787300</v>
      </c>
      <c r="J820" s="385">
        <f>J821</f>
        <v>2272798.0699999998</v>
      </c>
      <c r="K820" s="397">
        <f t="shared" si="83"/>
        <v>127.16377049180328</v>
      </c>
      <c r="L820" s="261"/>
      <c r="M820" s="445"/>
    </row>
    <row r="821" spans="1:13" s="155" customFormat="1" x14ac:dyDescent="0.25">
      <c r="A821" s="492"/>
      <c r="B821" s="387" t="s">
        <v>19</v>
      </c>
      <c r="C821" s="388"/>
      <c r="D821" s="388"/>
      <c r="E821" s="389">
        <v>658500</v>
      </c>
      <c r="F821" s="389">
        <v>452965.08</v>
      </c>
      <c r="G821" s="400">
        <f t="shared" si="86"/>
        <v>68.787407744874713</v>
      </c>
      <c r="H821" s="391"/>
      <c r="I821" s="389">
        <f>E821+'2016'!E637+'2017'!E643+'2018'!E638</f>
        <v>1787300</v>
      </c>
      <c r="J821" s="389">
        <f>F821+'2016'!F637+'2017'!F643+'2018'!F638</f>
        <v>2272798.0699999998</v>
      </c>
      <c r="K821" s="400">
        <f t="shared" si="83"/>
        <v>127.16377049180328</v>
      </c>
      <c r="L821" s="391"/>
      <c r="M821" s="458"/>
    </row>
    <row r="822" spans="1:13" ht="75" x14ac:dyDescent="0.25">
      <c r="A822" s="492">
        <v>261</v>
      </c>
      <c r="B822" s="384" t="s">
        <v>126</v>
      </c>
      <c r="C822" s="262" t="s">
        <v>14</v>
      </c>
      <c r="D822" s="262" t="s">
        <v>16</v>
      </c>
      <c r="E822" s="385">
        <f>E823</f>
        <v>518100</v>
      </c>
      <c r="F822" s="385">
        <f>F823</f>
        <v>588588.76</v>
      </c>
      <c r="G822" s="397">
        <f t="shared" si="86"/>
        <v>113.6052422312295</v>
      </c>
      <c r="H822" s="261">
        <v>100</v>
      </c>
      <c r="I822" s="385">
        <f>I823</f>
        <v>1406300</v>
      </c>
      <c r="J822" s="385">
        <f>J823</f>
        <v>1822498.44</v>
      </c>
      <c r="K822" s="397">
        <f t="shared" si="83"/>
        <v>129.595281234445</v>
      </c>
      <c r="L822" s="261"/>
      <c r="M822" s="445"/>
    </row>
    <row r="823" spans="1:13" s="155" customFormat="1" x14ac:dyDescent="0.25">
      <c r="A823" s="492"/>
      <c r="B823" s="387" t="s">
        <v>19</v>
      </c>
      <c r="C823" s="388"/>
      <c r="D823" s="388"/>
      <c r="E823" s="389">
        <v>518100</v>
      </c>
      <c r="F823" s="389">
        <v>588588.76</v>
      </c>
      <c r="G823" s="400">
        <f t="shared" si="86"/>
        <v>113.6052422312295</v>
      </c>
      <c r="H823" s="391"/>
      <c r="I823" s="389">
        <f>E823+'2016'!E639+'2017'!E645+'2018'!E640</f>
        <v>1406300</v>
      </c>
      <c r="J823" s="389">
        <f>F823+'2016'!F639+'2017'!F645+'2018'!F640</f>
        <v>1822498.44</v>
      </c>
      <c r="K823" s="400">
        <f t="shared" si="83"/>
        <v>129.595281234445</v>
      </c>
      <c r="L823" s="391"/>
      <c r="M823" s="458"/>
    </row>
    <row r="824" spans="1:13" ht="60" x14ac:dyDescent="0.25">
      <c r="A824" s="492">
        <v>262</v>
      </c>
      <c r="B824" s="384" t="s">
        <v>503</v>
      </c>
      <c r="C824" s="262" t="s">
        <v>14</v>
      </c>
      <c r="D824" s="262" t="s">
        <v>16</v>
      </c>
      <c r="E824" s="385">
        <f>E825</f>
        <v>46000</v>
      </c>
      <c r="F824" s="385">
        <f>F825</f>
        <v>94458.55</v>
      </c>
      <c r="G824" s="397">
        <f t="shared" si="86"/>
        <v>205.34467391304347</v>
      </c>
      <c r="H824" s="261">
        <v>100</v>
      </c>
      <c r="I824" s="385">
        <f>I825</f>
        <v>125000</v>
      </c>
      <c r="J824" s="385">
        <f>J825</f>
        <v>305800.59999999998</v>
      </c>
      <c r="K824" s="397">
        <f t="shared" si="83"/>
        <v>244.64047999999997</v>
      </c>
      <c r="L824" s="261"/>
      <c r="M824" s="445"/>
    </row>
    <row r="825" spans="1:13" s="155" customFormat="1" x14ac:dyDescent="0.25">
      <c r="A825" s="492"/>
      <c r="B825" s="387" t="s">
        <v>19</v>
      </c>
      <c r="C825" s="388"/>
      <c r="D825" s="388"/>
      <c r="E825" s="389">
        <v>46000</v>
      </c>
      <c r="F825" s="389">
        <v>94458.55</v>
      </c>
      <c r="G825" s="400">
        <f t="shared" si="86"/>
        <v>205.34467391304347</v>
      </c>
      <c r="H825" s="391"/>
      <c r="I825" s="389">
        <f>E825+'2016'!E641+'2017'!E647+'2018'!E642</f>
        <v>125000</v>
      </c>
      <c r="J825" s="389">
        <f>F825+'2016'!F641+'2017'!F647+'2018'!F642</f>
        <v>305800.59999999998</v>
      </c>
      <c r="K825" s="400">
        <f t="shared" si="83"/>
        <v>244.64047999999997</v>
      </c>
      <c r="L825" s="391"/>
      <c r="M825" s="458"/>
    </row>
    <row r="826" spans="1:13" x14ac:dyDescent="0.25">
      <c r="A826" s="492"/>
      <c r="B826" s="394" t="s">
        <v>54</v>
      </c>
      <c r="C826" s="262"/>
      <c r="D826" s="262"/>
      <c r="E826" s="395">
        <f>E827</f>
        <v>2529100</v>
      </c>
      <c r="F826" s="395">
        <f>F827</f>
        <v>1972771.6900000002</v>
      </c>
      <c r="G826" s="399">
        <f t="shared" si="86"/>
        <v>78.002913684709981</v>
      </c>
      <c r="H826" s="261"/>
      <c r="I826" s="395">
        <f>I827</f>
        <v>6864900</v>
      </c>
      <c r="J826" s="395">
        <f>J827</f>
        <v>7861265.3699999992</v>
      </c>
      <c r="K826" s="399">
        <f t="shared" si="83"/>
        <v>114.51390945243192</v>
      </c>
      <c r="L826" s="261"/>
      <c r="M826" s="445"/>
    </row>
    <row r="827" spans="1:13" s="155" customFormat="1" x14ac:dyDescent="0.25">
      <c r="A827" s="492"/>
      <c r="B827" s="387" t="s">
        <v>19</v>
      </c>
      <c r="C827" s="388"/>
      <c r="D827" s="388"/>
      <c r="E827" s="389">
        <f>E819+E821+E823+E825</f>
        <v>2529100</v>
      </c>
      <c r="F827" s="389">
        <f>F819+F821+F823+F825</f>
        <v>1972771.6900000002</v>
      </c>
      <c r="G827" s="400">
        <f t="shared" si="86"/>
        <v>78.002913684709981</v>
      </c>
      <c r="H827" s="391"/>
      <c r="I827" s="389">
        <f>I819+I821+I823+I825</f>
        <v>6864900</v>
      </c>
      <c r="J827" s="389">
        <f>J819+J821+J823+J825</f>
        <v>7861265.3699999992</v>
      </c>
      <c r="K827" s="400">
        <f t="shared" si="83"/>
        <v>114.51390945243192</v>
      </c>
      <c r="L827" s="391"/>
      <c r="M827" s="458"/>
    </row>
    <row r="828" spans="1:13" x14ac:dyDescent="0.25">
      <c r="A828" s="564" t="s">
        <v>127</v>
      </c>
      <c r="B828" s="564"/>
      <c r="C828" s="564"/>
      <c r="D828" s="564"/>
      <c r="E828" s="564"/>
      <c r="F828" s="564"/>
      <c r="G828" s="564"/>
      <c r="H828" s="564"/>
      <c r="I828" s="564"/>
      <c r="J828" s="564"/>
      <c r="K828" s="564"/>
      <c r="L828" s="564"/>
      <c r="M828" s="564"/>
    </row>
    <row r="829" spans="1:13" ht="109.5" customHeight="1" x14ac:dyDescent="0.25">
      <c r="A829" s="492">
        <v>263</v>
      </c>
      <c r="B829" s="384" t="s">
        <v>128</v>
      </c>
      <c r="C829" s="262" t="s">
        <v>14</v>
      </c>
      <c r="D829" s="262" t="s">
        <v>16</v>
      </c>
      <c r="E829" s="385">
        <f>E830</f>
        <v>14670</v>
      </c>
      <c r="F829" s="385">
        <f>F830</f>
        <v>14670</v>
      </c>
      <c r="G829" s="397">
        <f>F829/E829*100</f>
        <v>100</v>
      </c>
      <c r="H829" s="261">
        <v>100</v>
      </c>
      <c r="I829" s="385">
        <f>I830</f>
        <v>49740</v>
      </c>
      <c r="J829" s="385">
        <f>J830</f>
        <v>49730</v>
      </c>
      <c r="K829" s="397">
        <f t="shared" si="83"/>
        <v>99.979895456373129</v>
      </c>
      <c r="L829" s="261">
        <v>100</v>
      </c>
      <c r="M829" s="460"/>
    </row>
    <row r="830" spans="1:13" s="155" customFormat="1" x14ac:dyDescent="0.25">
      <c r="A830" s="492"/>
      <c r="B830" s="387" t="s">
        <v>13</v>
      </c>
      <c r="C830" s="388"/>
      <c r="D830" s="388"/>
      <c r="E830" s="389">
        <v>14670</v>
      </c>
      <c r="F830" s="389">
        <v>14670</v>
      </c>
      <c r="G830" s="400">
        <f t="shared" ref="G830" si="87">F830/E830*100</f>
        <v>100</v>
      </c>
      <c r="H830" s="391"/>
      <c r="I830" s="389">
        <f>E830+'2016'!E646+'2017'!E652+'2018'!E647</f>
        <v>49740</v>
      </c>
      <c r="J830" s="389">
        <f>F830+'2016'!F646+'2017'!F652+'2018'!F647</f>
        <v>49730</v>
      </c>
      <c r="K830" s="400">
        <f t="shared" si="83"/>
        <v>99.979895456373129</v>
      </c>
      <c r="L830" s="391"/>
      <c r="M830" s="461"/>
    </row>
    <row r="831" spans="1:13" ht="136.5" customHeight="1" x14ac:dyDescent="0.25">
      <c r="A831" s="492">
        <v>264</v>
      </c>
      <c r="B831" s="384" t="s">
        <v>129</v>
      </c>
      <c r="C831" s="262" t="s">
        <v>14</v>
      </c>
      <c r="D831" s="262" t="s">
        <v>16</v>
      </c>
      <c r="E831" s="385">
        <f>E837</f>
        <v>35730</v>
      </c>
      <c r="F831" s="385">
        <f>F837</f>
        <v>35730</v>
      </c>
      <c r="G831" s="397">
        <f>F831/E831*100</f>
        <v>100</v>
      </c>
      <c r="H831" s="261">
        <v>100</v>
      </c>
      <c r="I831" s="385">
        <f>I837</f>
        <v>133460</v>
      </c>
      <c r="J831" s="385">
        <f>J837</f>
        <v>133410</v>
      </c>
      <c r="K831" s="397">
        <f t="shared" si="83"/>
        <v>99.96253559118837</v>
      </c>
      <c r="L831" s="261">
        <v>100</v>
      </c>
      <c r="M831" s="460"/>
    </row>
    <row r="832" spans="1:13" x14ac:dyDescent="0.25">
      <c r="A832" s="492"/>
      <c r="B832" s="384" t="s">
        <v>130</v>
      </c>
      <c r="C832" s="262"/>
      <c r="D832" s="262"/>
      <c r="E832" s="385">
        <v>5310</v>
      </c>
      <c r="F832" s="385">
        <v>5310</v>
      </c>
      <c r="G832" s="397">
        <f t="shared" ref="G832:G855" si="88">F832/E832*100</f>
        <v>100</v>
      </c>
      <c r="H832" s="261"/>
      <c r="I832" s="385">
        <f>E832+'2016'!E648+'2017'!E654+'2018'!E649</f>
        <v>21120</v>
      </c>
      <c r="J832" s="385">
        <f>F832+'2016'!F648+'2017'!F654+'2018'!F649</f>
        <v>21120</v>
      </c>
      <c r="K832" s="397">
        <f t="shared" si="83"/>
        <v>100</v>
      </c>
      <c r="L832" s="261"/>
      <c r="M832" s="460"/>
    </row>
    <row r="833" spans="1:13" x14ac:dyDescent="0.25">
      <c r="A833" s="492"/>
      <c r="B833" s="384" t="s">
        <v>131</v>
      </c>
      <c r="C833" s="262"/>
      <c r="D833" s="262"/>
      <c r="E833" s="385">
        <v>5310</v>
      </c>
      <c r="F833" s="385">
        <v>5310</v>
      </c>
      <c r="G833" s="397">
        <f t="shared" si="88"/>
        <v>100</v>
      </c>
      <c r="H833" s="261"/>
      <c r="I833" s="385">
        <f>E833+'2016'!E649+'2017'!E655+'2018'!E650</f>
        <v>21120</v>
      </c>
      <c r="J833" s="385">
        <f>F833+'2016'!F649+'2017'!F655+'2018'!F650</f>
        <v>21120</v>
      </c>
      <c r="K833" s="397">
        <f t="shared" si="83"/>
        <v>100</v>
      </c>
      <c r="L833" s="261"/>
      <c r="M833" s="460"/>
    </row>
    <row r="834" spans="1:13" x14ac:dyDescent="0.25">
      <c r="A834" s="492"/>
      <c r="B834" s="384" t="s">
        <v>132</v>
      </c>
      <c r="C834" s="262"/>
      <c r="D834" s="262"/>
      <c r="E834" s="385">
        <v>5310</v>
      </c>
      <c r="F834" s="385">
        <v>5310</v>
      </c>
      <c r="G834" s="397">
        <f t="shared" si="88"/>
        <v>100</v>
      </c>
      <c r="H834" s="261"/>
      <c r="I834" s="385">
        <f>E834+'2016'!E650+'2017'!E656+'2018'!E651</f>
        <v>21120</v>
      </c>
      <c r="J834" s="385">
        <f>F834+'2016'!F650+'2017'!F656+'2018'!F651</f>
        <v>21120</v>
      </c>
      <c r="K834" s="397">
        <f t="shared" si="83"/>
        <v>100</v>
      </c>
      <c r="L834" s="261"/>
      <c r="M834" s="460"/>
    </row>
    <row r="835" spans="1:13" x14ac:dyDescent="0.25">
      <c r="A835" s="492"/>
      <c r="B835" s="384" t="s">
        <v>133</v>
      </c>
      <c r="C835" s="262"/>
      <c r="D835" s="262"/>
      <c r="E835" s="385">
        <v>14490</v>
      </c>
      <c r="F835" s="385">
        <v>14490</v>
      </c>
      <c r="G835" s="397">
        <f t="shared" si="88"/>
        <v>100</v>
      </c>
      <c r="H835" s="261"/>
      <c r="I835" s="385">
        <f>E835+'2016'!E651+'2017'!E657+'2018'!E652</f>
        <v>48980</v>
      </c>
      <c r="J835" s="385">
        <f>F835+'2016'!F651+'2017'!F657+'2018'!F652</f>
        <v>48930</v>
      </c>
      <c r="K835" s="397">
        <f t="shared" si="83"/>
        <v>99.897917517354017</v>
      </c>
      <c r="L835" s="261"/>
      <c r="M835" s="460"/>
    </row>
    <row r="836" spans="1:13" x14ac:dyDescent="0.25">
      <c r="A836" s="492"/>
      <c r="B836" s="384" t="s">
        <v>134</v>
      </c>
      <c r="C836" s="262"/>
      <c r="D836" s="262"/>
      <c r="E836" s="385">
        <v>5310</v>
      </c>
      <c r="F836" s="385">
        <v>5310</v>
      </c>
      <c r="G836" s="397">
        <f t="shared" si="88"/>
        <v>100</v>
      </c>
      <c r="H836" s="261"/>
      <c r="I836" s="385">
        <f>E836+'2016'!E652+'2017'!E658+'2018'!E653</f>
        <v>21120</v>
      </c>
      <c r="J836" s="385">
        <f>F836+'2016'!F652+'2017'!F658+'2018'!F653</f>
        <v>21120</v>
      </c>
      <c r="K836" s="397">
        <f t="shared" si="83"/>
        <v>100</v>
      </c>
      <c r="L836" s="261"/>
      <c r="M836" s="460"/>
    </row>
    <row r="837" spans="1:13" s="155" customFormat="1" x14ac:dyDescent="0.25">
      <c r="A837" s="492"/>
      <c r="B837" s="387" t="s">
        <v>13</v>
      </c>
      <c r="C837" s="388"/>
      <c r="D837" s="388"/>
      <c r="E837" s="389">
        <f>E832+E833+E834+E835+E836</f>
        <v>35730</v>
      </c>
      <c r="F837" s="389">
        <f>F832+F833+F834+F835+F836</f>
        <v>35730</v>
      </c>
      <c r="G837" s="400">
        <f t="shared" si="88"/>
        <v>100</v>
      </c>
      <c r="H837" s="391"/>
      <c r="I837" s="389">
        <f>I832+I833+I834+I835+I836</f>
        <v>133460</v>
      </c>
      <c r="J837" s="389">
        <f>J832+J833+J834+J835+J836</f>
        <v>133410</v>
      </c>
      <c r="K837" s="400">
        <f t="shared" si="83"/>
        <v>99.96253559118837</v>
      </c>
      <c r="L837" s="391"/>
      <c r="M837" s="461"/>
    </row>
    <row r="838" spans="1:13" ht="66.75" customHeight="1" x14ac:dyDescent="0.25">
      <c r="A838" s="492">
        <v>265</v>
      </c>
      <c r="B838" s="384" t="s">
        <v>272</v>
      </c>
      <c r="C838" s="262" t="s">
        <v>14</v>
      </c>
      <c r="D838" s="262" t="s">
        <v>16</v>
      </c>
      <c r="E838" s="385">
        <f>E839</f>
        <v>8640</v>
      </c>
      <c r="F838" s="385">
        <f>F839</f>
        <v>8640</v>
      </c>
      <c r="G838" s="397">
        <f t="shared" si="88"/>
        <v>100</v>
      </c>
      <c r="H838" s="261">
        <v>100</v>
      </c>
      <c r="I838" s="385">
        <f>I839</f>
        <v>34280</v>
      </c>
      <c r="J838" s="385">
        <f>J839</f>
        <v>34190</v>
      </c>
      <c r="K838" s="397">
        <f t="shared" si="83"/>
        <v>99.737456242707125</v>
      </c>
      <c r="L838" s="261">
        <v>100</v>
      </c>
      <c r="M838" s="460"/>
    </row>
    <row r="839" spans="1:13" s="155" customFormat="1" x14ac:dyDescent="0.25">
      <c r="A839" s="492"/>
      <c r="B839" s="387" t="s">
        <v>13</v>
      </c>
      <c r="C839" s="388"/>
      <c r="D839" s="388"/>
      <c r="E839" s="389">
        <v>8640</v>
      </c>
      <c r="F839" s="389">
        <v>8640</v>
      </c>
      <c r="G839" s="400">
        <f t="shared" si="88"/>
        <v>100</v>
      </c>
      <c r="H839" s="391"/>
      <c r="I839" s="389">
        <f>E839+'2016'!E655+'2017'!E661+'2018'!E656</f>
        <v>34280</v>
      </c>
      <c r="J839" s="389">
        <f>F839+'2016'!F655+'2017'!F661+'2018'!F656</f>
        <v>34190</v>
      </c>
      <c r="K839" s="400">
        <f t="shared" si="83"/>
        <v>99.737456242707125</v>
      </c>
      <c r="L839" s="391"/>
      <c r="M839" s="461"/>
    </row>
    <row r="840" spans="1:13" s="155" customFormat="1" ht="90" x14ac:dyDescent="0.25">
      <c r="A840" s="492">
        <v>266</v>
      </c>
      <c r="B840" s="384" t="s">
        <v>596</v>
      </c>
      <c r="C840" s="467" t="s">
        <v>14</v>
      </c>
      <c r="D840" s="467" t="s">
        <v>16</v>
      </c>
      <c r="E840" s="389"/>
      <c r="F840" s="389"/>
      <c r="G840" s="400"/>
      <c r="H840" s="391"/>
      <c r="I840" s="385">
        <f>I841</f>
        <v>0</v>
      </c>
      <c r="J840" s="385">
        <f>J841</f>
        <v>0</v>
      </c>
      <c r="K840" s="400"/>
      <c r="L840" s="468">
        <v>100</v>
      </c>
      <c r="M840" s="461"/>
    </row>
    <row r="841" spans="1:13" s="155" customFormat="1" x14ac:dyDescent="0.25">
      <c r="A841" s="492"/>
      <c r="B841" s="387" t="s">
        <v>13</v>
      </c>
      <c r="C841" s="388"/>
      <c r="D841" s="388"/>
      <c r="E841" s="389"/>
      <c r="F841" s="389"/>
      <c r="G841" s="400"/>
      <c r="H841" s="391"/>
      <c r="I841" s="389">
        <v>0</v>
      </c>
      <c r="J841" s="389">
        <v>0</v>
      </c>
      <c r="K841" s="400"/>
      <c r="L841" s="391"/>
      <c r="M841" s="461"/>
    </row>
    <row r="842" spans="1:13" s="155" customFormat="1" ht="105" x14ac:dyDescent="0.25">
      <c r="A842" s="492">
        <v>267</v>
      </c>
      <c r="B842" s="384" t="s">
        <v>597</v>
      </c>
      <c r="C842" s="467" t="s">
        <v>103</v>
      </c>
      <c r="D842" s="467" t="s">
        <v>598</v>
      </c>
      <c r="E842" s="385">
        <f>E843</f>
        <v>3400</v>
      </c>
      <c r="F842" s="385">
        <f>F843</f>
        <v>0</v>
      </c>
      <c r="G842" s="397">
        <f t="shared" si="88"/>
        <v>0</v>
      </c>
      <c r="H842" s="485">
        <v>100</v>
      </c>
      <c r="I842" s="385">
        <f>I843</f>
        <v>9100</v>
      </c>
      <c r="J842" s="385">
        <f>J843</f>
        <v>5700</v>
      </c>
      <c r="K842" s="397">
        <f t="shared" ref="K842:K855" si="89">J842/I842*100</f>
        <v>62.637362637362635</v>
      </c>
      <c r="L842" s="485">
        <v>100</v>
      </c>
      <c r="M842" s="489" t="s">
        <v>636</v>
      </c>
    </row>
    <row r="843" spans="1:13" s="155" customFormat="1" x14ac:dyDescent="0.25">
      <c r="A843" s="492"/>
      <c r="B843" s="387" t="s">
        <v>13</v>
      </c>
      <c r="C843" s="388"/>
      <c r="D843" s="388"/>
      <c r="E843" s="389">
        <v>3400</v>
      </c>
      <c r="F843" s="389"/>
      <c r="G843" s="400">
        <f t="shared" si="88"/>
        <v>0</v>
      </c>
      <c r="H843" s="391"/>
      <c r="I843" s="389">
        <f>E843+'2016'!E657+'2017'!E663</f>
        <v>9100</v>
      </c>
      <c r="J843" s="389">
        <f>F843+'2016'!F657+'2017'!F663</f>
        <v>5700</v>
      </c>
      <c r="K843" s="400">
        <f t="shared" si="89"/>
        <v>62.637362637362635</v>
      </c>
      <c r="L843" s="391"/>
      <c r="M843" s="461"/>
    </row>
    <row r="844" spans="1:13" ht="122.25" customHeight="1" x14ac:dyDescent="0.25">
      <c r="A844" s="492">
        <v>268</v>
      </c>
      <c r="B844" s="384" t="s">
        <v>599</v>
      </c>
      <c r="C844" s="262" t="s">
        <v>92</v>
      </c>
      <c r="D844" s="262" t="s">
        <v>16</v>
      </c>
      <c r="E844" s="385">
        <f>E845</f>
        <v>2771</v>
      </c>
      <c r="F844" s="385">
        <f>F845</f>
        <v>2771</v>
      </c>
      <c r="G844" s="397">
        <f t="shared" si="88"/>
        <v>100</v>
      </c>
      <c r="H844" s="261">
        <v>100</v>
      </c>
      <c r="I844" s="385">
        <f>I845</f>
        <v>11195</v>
      </c>
      <c r="J844" s="385">
        <f>J845</f>
        <v>11195</v>
      </c>
      <c r="K844" s="397">
        <f t="shared" si="89"/>
        <v>100</v>
      </c>
      <c r="L844" s="261">
        <v>100</v>
      </c>
      <c r="M844" s="460"/>
    </row>
    <row r="845" spans="1:13" s="155" customFormat="1" x14ac:dyDescent="0.25">
      <c r="A845" s="492"/>
      <c r="B845" s="387" t="s">
        <v>13</v>
      </c>
      <c r="C845" s="388"/>
      <c r="D845" s="388"/>
      <c r="E845" s="389">
        <v>2771</v>
      </c>
      <c r="F845" s="389">
        <v>2771</v>
      </c>
      <c r="G845" s="400">
        <f t="shared" si="88"/>
        <v>100</v>
      </c>
      <c r="H845" s="391"/>
      <c r="I845" s="389">
        <f>E845+'2016'!E659+'2017'!E665+'2018'!E658</f>
        <v>11195</v>
      </c>
      <c r="J845" s="389">
        <f>F845+'2016'!F659+'2017'!F665+'2018'!F658</f>
        <v>11195</v>
      </c>
      <c r="K845" s="400">
        <f t="shared" si="89"/>
        <v>100</v>
      </c>
      <c r="L845" s="391"/>
      <c r="M845" s="461"/>
    </row>
    <row r="846" spans="1:13" ht="147.75" customHeight="1" x14ac:dyDescent="0.25">
      <c r="A846" s="492">
        <v>269</v>
      </c>
      <c r="B846" s="384" t="s">
        <v>136</v>
      </c>
      <c r="C846" s="262" t="s">
        <v>50</v>
      </c>
      <c r="D846" s="262" t="s">
        <v>16</v>
      </c>
      <c r="E846" s="385">
        <f>E849</f>
        <v>9900</v>
      </c>
      <c r="F846" s="385">
        <f>F849</f>
        <v>9900</v>
      </c>
      <c r="G846" s="397">
        <f t="shared" si="88"/>
        <v>100</v>
      </c>
      <c r="H846" s="261">
        <v>100</v>
      </c>
      <c r="I846" s="385">
        <f>I849</f>
        <v>33882.6</v>
      </c>
      <c r="J846" s="385">
        <f>J849</f>
        <v>33882.6</v>
      </c>
      <c r="K846" s="397">
        <f t="shared" si="89"/>
        <v>100</v>
      </c>
      <c r="L846" s="488">
        <v>100</v>
      </c>
      <c r="M846" s="460"/>
    </row>
    <row r="847" spans="1:13" x14ac:dyDescent="0.25">
      <c r="A847" s="492"/>
      <c r="B847" s="384" t="s">
        <v>137</v>
      </c>
      <c r="C847" s="262"/>
      <c r="D847" s="262"/>
      <c r="E847" s="385">
        <v>3400</v>
      </c>
      <c r="F847" s="385">
        <v>3400</v>
      </c>
      <c r="G847" s="397">
        <f t="shared" si="88"/>
        <v>100</v>
      </c>
      <c r="H847" s="261"/>
      <c r="I847" s="385">
        <f>E847+'2016'!E661+'2017'!E667+'2018'!E660</f>
        <v>11490</v>
      </c>
      <c r="J847" s="385">
        <f>F847+'2016'!F661+'2017'!F667+'2018'!F660</f>
        <v>11490</v>
      </c>
      <c r="K847" s="397">
        <f t="shared" si="89"/>
        <v>100</v>
      </c>
      <c r="L847" s="261"/>
      <c r="M847" s="460"/>
    </row>
    <row r="848" spans="1:13" ht="60" x14ac:dyDescent="0.25">
      <c r="A848" s="492"/>
      <c r="B848" s="384" t="s">
        <v>138</v>
      </c>
      <c r="C848" s="383"/>
      <c r="D848" s="383"/>
      <c r="E848" s="385">
        <v>6500</v>
      </c>
      <c r="F848" s="385">
        <v>6500</v>
      </c>
      <c r="G848" s="397">
        <f t="shared" si="88"/>
        <v>100</v>
      </c>
      <c r="H848" s="403"/>
      <c r="I848" s="385">
        <f>E848+'2016'!E662+'2017'!E668+'2018'!E661</f>
        <v>22392.6</v>
      </c>
      <c r="J848" s="385">
        <f>F848+'2016'!F662+'2017'!F668+'2018'!F661</f>
        <v>22392.6</v>
      </c>
      <c r="K848" s="397">
        <f t="shared" si="89"/>
        <v>100</v>
      </c>
      <c r="L848" s="403"/>
      <c r="M848" s="452"/>
    </row>
    <row r="849" spans="1:13" s="155" customFormat="1" x14ac:dyDescent="0.25">
      <c r="A849" s="492"/>
      <c r="B849" s="387" t="s">
        <v>13</v>
      </c>
      <c r="C849" s="408"/>
      <c r="D849" s="408"/>
      <c r="E849" s="389">
        <f>E847+E848</f>
        <v>9900</v>
      </c>
      <c r="F849" s="389">
        <f>F847+F848</f>
        <v>9900</v>
      </c>
      <c r="G849" s="400">
        <f t="shared" si="88"/>
        <v>100</v>
      </c>
      <c r="H849" s="409"/>
      <c r="I849" s="389">
        <f>I847+I848</f>
        <v>33882.6</v>
      </c>
      <c r="J849" s="389">
        <f>J847+J848</f>
        <v>33882.6</v>
      </c>
      <c r="K849" s="400">
        <f t="shared" si="89"/>
        <v>100</v>
      </c>
      <c r="L849" s="409"/>
      <c r="M849" s="453"/>
    </row>
    <row r="850" spans="1:13" x14ac:dyDescent="0.25">
      <c r="A850" s="492"/>
      <c r="B850" s="394" t="s">
        <v>54</v>
      </c>
      <c r="E850" s="395">
        <f>E851</f>
        <v>75111</v>
      </c>
      <c r="F850" s="395">
        <f>F851</f>
        <v>71711</v>
      </c>
      <c r="G850" s="397">
        <f t="shared" si="88"/>
        <v>95.473366084861084</v>
      </c>
      <c r="H850" s="437"/>
      <c r="I850" s="395">
        <f>I851</f>
        <v>271657.59999999998</v>
      </c>
      <c r="J850" s="395">
        <f>J851</f>
        <v>268107.59999999998</v>
      </c>
      <c r="K850" s="399">
        <f t="shared" si="89"/>
        <v>98.69320792055882</v>
      </c>
      <c r="L850" s="437"/>
      <c r="M850" s="462"/>
    </row>
    <row r="851" spans="1:13" s="155" customFormat="1" x14ac:dyDescent="0.25">
      <c r="A851" s="492"/>
      <c r="B851" s="387" t="s">
        <v>13</v>
      </c>
      <c r="C851" s="438"/>
      <c r="D851" s="438"/>
      <c r="E851" s="389">
        <f>E830+E837+E839+E843+E845+E849</f>
        <v>75111</v>
      </c>
      <c r="F851" s="389">
        <f>F830+F837+F839+F843+F845+F849</f>
        <v>71711</v>
      </c>
      <c r="G851" s="400">
        <f t="shared" si="88"/>
        <v>95.473366084861084</v>
      </c>
      <c r="H851" s="439"/>
      <c r="I851" s="389">
        <f>I830+I837+I839+I843+I845+I849</f>
        <v>271657.59999999998</v>
      </c>
      <c r="J851" s="389">
        <f>J830+J837+J839+J843+J845+J849</f>
        <v>268107.59999999998</v>
      </c>
      <c r="K851" s="400">
        <f t="shared" si="89"/>
        <v>98.69320792055882</v>
      </c>
      <c r="L851" s="439"/>
      <c r="M851" s="463"/>
    </row>
    <row r="852" spans="1:13" x14ac:dyDescent="0.25">
      <c r="A852" s="492"/>
      <c r="B852" s="394" t="s">
        <v>73</v>
      </c>
      <c r="E852" s="395">
        <f>E853+E854+E855</f>
        <v>3338913</v>
      </c>
      <c r="F852" s="395">
        <f>F853+F854+F855</f>
        <v>2756448.3600000003</v>
      </c>
      <c r="G852" s="399">
        <f t="shared" si="88"/>
        <v>82.555261547695324</v>
      </c>
      <c r="H852" s="437"/>
      <c r="I852" s="395">
        <f>I853+I854+I855</f>
        <v>10662946.300000001</v>
      </c>
      <c r="J852" s="395">
        <f>J853+J854+J855</f>
        <v>11464143.699999999</v>
      </c>
      <c r="K852" s="399">
        <f t="shared" si="89"/>
        <v>107.51384633719856</v>
      </c>
      <c r="L852" s="437"/>
      <c r="M852" s="462"/>
    </row>
    <row r="853" spans="1:13" s="155" customFormat="1" ht="17.25" customHeight="1" x14ac:dyDescent="0.25">
      <c r="A853" s="492"/>
      <c r="B853" s="387" t="s">
        <v>13</v>
      </c>
      <c r="C853" s="438"/>
      <c r="D853" s="438"/>
      <c r="E853" s="389">
        <f>E700+E716+E725+E737+E750+E755+E762+E767+E791+E811+E816+E851</f>
        <v>792313</v>
      </c>
      <c r="F853" s="389">
        <f>F700+F716+F725+F737+F750+F755+F762+F767+F791+F811+F816+F851</f>
        <v>766176.67</v>
      </c>
      <c r="G853" s="400">
        <f t="shared" si="88"/>
        <v>96.701262001254563</v>
      </c>
      <c r="H853" s="439"/>
      <c r="I853" s="389">
        <f>I700+I716+I725+I737+I750+I755+I762+I767+I791+I811+I816+I851</f>
        <v>3708546.3000000003</v>
      </c>
      <c r="J853" s="389">
        <f>J700+J716+J725+J737+J750+J755+J762+J767+J791+J811+J816+J851</f>
        <v>3513378.3300000005</v>
      </c>
      <c r="K853" s="400">
        <f t="shared" si="89"/>
        <v>94.73734573571322</v>
      </c>
      <c r="L853" s="439"/>
      <c r="M853" s="463"/>
    </row>
    <row r="854" spans="1:13" s="155" customFormat="1" ht="17.25" customHeight="1" x14ac:dyDescent="0.25">
      <c r="A854" s="492"/>
      <c r="B854" s="387" t="s">
        <v>144</v>
      </c>
      <c r="C854" s="438"/>
      <c r="D854" s="438"/>
      <c r="E854" s="389">
        <f>E827</f>
        <v>2529100</v>
      </c>
      <c r="F854" s="389">
        <f>F827</f>
        <v>1972771.6900000002</v>
      </c>
      <c r="G854" s="400">
        <f t="shared" si="88"/>
        <v>78.002913684709981</v>
      </c>
      <c r="H854" s="439"/>
      <c r="I854" s="389">
        <f>I827</f>
        <v>6864900</v>
      </c>
      <c r="J854" s="389">
        <f>J827</f>
        <v>7861265.3699999992</v>
      </c>
      <c r="K854" s="400">
        <f t="shared" si="89"/>
        <v>114.51390945243192</v>
      </c>
      <c r="L854" s="439"/>
      <c r="M854" s="463"/>
    </row>
    <row r="855" spans="1:13" s="155" customFormat="1" ht="19.5" customHeight="1" x14ac:dyDescent="0.25">
      <c r="A855" s="492"/>
      <c r="B855" s="387" t="s">
        <v>139</v>
      </c>
      <c r="C855" s="438"/>
      <c r="D855" s="438"/>
      <c r="E855" s="389">
        <f>E701+E792</f>
        <v>17500</v>
      </c>
      <c r="F855" s="389">
        <f>F701+F792</f>
        <v>17500</v>
      </c>
      <c r="G855" s="400">
        <f t="shared" si="88"/>
        <v>100</v>
      </c>
      <c r="H855" s="439"/>
      <c r="I855" s="389">
        <f>I701+I792</f>
        <v>89500</v>
      </c>
      <c r="J855" s="389">
        <f>J701+J792</f>
        <v>89500</v>
      </c>
      <c r="K855" s="400">
        <f t="shared" si="89"/>
        <v>100</v>
      </c>
      <c r="L855" s="439"/>
      <c r="M855" s="463"/>
    </row>
    <row r="856" spans="1:13" x14ac:dyDescent="0.25">
      <c r="A856" s="492"/>
      <c r="B856" s="387"/>
      <c r="C856" s="262"/>
      <c r="D856" s="262"/>
      <c r="E856" s="262"/>
      <c r="F856" s="262"/>
      <c r="G856" s="262"/>
      <c r="H856" s="261"/>
      <c r="I856" s="261"/>
      <c r="J856" s="261"/>
      <c r="K856" s="261"/>
      <c r="L856" s="261"/>
      <c r="M856" s="444"/>
    </row>
    <row r="857" spans="1:13" x14ac:dyDescent="0.25">
      <c r="A857" s="565" t="s">
        <v>308</v>
      </c>
      <c r="B857" s="565"/>
      <c r="C857" s="565"/>
      <c r="D857" s="565"/>
      <c r="E857" s="565"/>
      <c r="F857" s="565"/>
      <c r="G857" s="565"/>
      <c r="H857" s="565"/>
      <c r="I857" s="565"/>
      <c r="J857" s="565"/>
      <c r="K857" s="565"/>
      <c r="L857" s="565"/>
      <c r="M857" s="565"/>
    </row>
    <row r="858" spans="1:13" x14ac:dyDescent="0.25">
      <c r="A858" s="564" t="s">
        <v>309</v>
      </c>
      <c r="B858" s="564"/>
      <c r="C858" s="564"/>
      <c r="D858" s="564"/>
      <c r="E858" s="564"/>
      <c r="F858" s="564"/>
      <c r="G858" s="564"/>
      <c r="H858" s="564"/>
      <c r="I858" s="564"/>
      <c r="J858" s="564"/>
      <c r="K858" s="564"/>
      <c r="L858" s="564"/>
      <c r="M858" s="564"/>
    </row>
    <row r="859" spans="1:13" ht="75" x14ac:dyDescent="0.25">
      <c r="A859" s="492">
        <v>270</v>
      </c>
      <c r="B859" s="384" t="s">
        <v>40</v>
      </c>
      <c r="C859" s="262" t="s">
        <v>14</v>
      </c>
      <c r="D859" s="262" t="s">
        <v>280</v>
      </c>
      <c r="E859" s="385">
        <f>E860</f>
        <v>3721351</v>
      </c>
      <c r="F859" s="385">
        <f>F860</f>
        <v>3685541.55</v>
      </c>
      <c r="G859" s="386">
        <f t="shared" ref="G859:G929" si="90">F859/E859*100</f>
        <v>99.037729845961849</v>
      </c>
      <c r="H859" s="261">
        <v>100</v>
      </c>
      <c r="I859" s="385">
        <f>I860</f>
        <v>10753278</v>
      </c>
      <c r="J859" s="385">
        <f>J860</f>
        <v>10275295.449999999</v>
      </c>
      <c r="K859" s="386">
        <f t="shared" ref="K859:K875" si="91">J859/I859*100</f>
        <v>95.555006110694791</v>
      </c>
      <c r="L859" s="261">
        <v>100</v>
      </c>
      <c r="M859" s="444"/>
    </row>
    <row r="860" spans="1:13" s="155" customFormat="1" x14ac:dyDescent="0.25">
      <c r="A860" s="492"/>
      <c r="B860" s="387" t="s">
        <v>13</v>
      </c>
      <c r="C860" s="388"/>
      <c r="D860" s="388"/>
      <c r="E860" s="390">
        <v>3721351</v>
      </c>
      <c r="F860" s="389">
        <v>3685541.55</v>
      </c>
      <c r="G860" s="390">
        <f t="shared" si="90"/>
        <v>99.037729845961849</v>
      </c>
      <c r="H860" s="391"/>
      <c r="I860" s="390">
        <f>E860+'2017'!E680+'2018'!E673</f>
        <v>10753278</v>
      </c>
      <c r="J860" s="390">
        <f>F860+'2017'!F680+'2018'!F673</f>
        <v>10275295.449999999</v>
      </c>
      <c r="K860" s="390">
        <f t="shared" si="91"/>
        <v>95.555006110694791</v>
      </c>
      <c r="L860" s="391"/>
      <c r="M860" s="447"/>
    </row>
    <row r="861" spans="1:13" ht="135" x14ac:dyDescent="0.25">
      <c r="A861" s="492">
        <v>271</v>
      </c>
      <c r="B861" s="384" t="s">
        <v>310</v>
      </c>
      <c r="C861" s="262" t="s">
        <v>14</v>
      </c>
      <c r="D861" s="262" t="s">
        <v>280</v>
      </c>
      <c r="E861" s="385">
        <f>E862</f>
        <v>197790</v>
      </c>
      <c r="F861" s="385">
        <f>F862</f>
        <v>197634</v>
      </c>
      <c r="G861" s="386">
        <f t="shared" si="90"/>
        <v>99.921128469588965</v>
      </c>
      <c r="H861" s="261">
        <v>100</v>
      </c>
      <c r="I861" s="385">
        <f>I862</f>
        <v>604882</v>
      </c>
      <c r="J861" s="385">
        <f>J862</f>
        <v>586022.98</v>
      </c>
      <c r="K861" s="386">
        <f t="shared" si="91"/>
        <v>96.88219851144521</v>
      </c>
      <c r="L861" s="502">
        <v>100</v>
      </c>
      <c r="M861" s="444"/>
    </row>
    <row r="862" spans="1:13" s="155" customFormat="1" x14ac:dyDescent="0.25">
      <c r="A862" s="492"/>
      <c r="B862" s="387" t="s">
        <v>13</v>
      </c>
      <c r="C862" s="388"/>
      <c r="D862" s="388"/>
      <c r="E862" s="390">
        <v>197790</v>
      </c>
      <c r="F862" s="389">
        <v>197634</v>
      </c>
      <c r="G862" s="390">
        <f t="shared" si="90"/>
        <v>99.921128469588965</v>
      </c>
      <c r="H862" s="391"/>
      <c r="I862" s="390">
        <f>E862+'2017'!E682+'2018'!E675</f>
        <v>604882</v>
      </c>
      <c r="J862" s="390">
        <f>F862+'2017'!F682+'2018'!F675</f>
        <v>586022.98</v>
      </c>
      <c r="K862" s="390">
        <f t="shared" si="91"/>
        <v>96.88219851144521</v>
      </c>
      <c r="L862" s="391"/>
      <c r="M862" s="447"/>
    </row>
    <row r="863" spans="1:13" ht="75" x14ac:dyDescent="0.25">
      <c r="A863" s="492">
        <v>272</v>
      </c>
      <c r="B863" s="384" t="s">
        <v>41</v>
      </c>
      <c r="C863" s="262" t="s">
        <v>14</v>
      </c>
      <c r="D863" s="262" t="s">
        <v>280</v>
      </c>
      <c r="E863" s="385">
        <f>E864</f>
        <v>138150</v>
      </c>
      <c r="F863" s="385">
        <f>F864</f>
        <v>138150</v>
      </c>
      <c r="G863" s="386">
        <f t="shared" si="90"/>
        <v>100</v>
      </c>
      <c r="H863" s="261">
        <v>100</v>
      </c>
      <c r="I863" s="385">
        <f>I864</f>
        <v>422491</v>
      </c>
      <c r="J863" s="385">
        <f>J864</f>
        <v>373209.4</v>
      </c>
      <c r="K863" s="386">
        <f t="shared" si="91"/>
        <v>88.33546750108286</v>
      </c>
      <c r="L863" s="502">
        <v>100</v>
      </c>
      <c r="M863" s="444"/>
    </row>
    <row r="864" spans="1:13" s="155" customFormat="1" x14ac:dyDescent="0.25">
      <c r="A864" s="492"/>
      <c r="B864" s="387" t="s">
        <v>13</v>
      </c>
      <c r="C864" s="388"/>
      <c r="D864" s="388"/>
      <c r="E864" s="390">
        <v>138150</v>
      </c>
      <c r="F864" s="390">
        <v>138150</v>
      </c>
      <c r="G864" s="390">
        <f t="shared" si="90"/>
        <v>100</v>
      </c>
      <c r="H864" s="391"/>
      <c r="I864" s="390">
        <f>E864+'2017'!E684+'2018'!E677</f>
        <v>422491</v>
      </c>
      <c r="J864" s="390">
        <f>F864+'2017'!F684+'2018'!F677</f>
        <v>373209.4</v>
      </c>
      <c r="K864" s="390">
        <f t="shared" si="91"/>
        <v>88.33546750108286</v>
      </c>
      <c r="L864" s="391"/>
      <c r="M864" s="447"/>
    </row>
    <row r="865" spans="1:13" ht="45" x14ac:dyDescent="0.25">
      <c r="A865" s="492">
        <v>273</v>
      </c>
      <c r="B865" s="384" t="s">
        <v>42</v>
      </c>
      <c r="C865" s="262" t="s">
        <v>14</v>
      </c>
      <c r="D865" s="262" t="s">
        <v>280</v>
      </c>
      <c r="E865" s="385">
        <f>E866</f>
        <v>9737</v>
      </c>
      <c r="F865" s="385">
        <f>F866</f>
        <v>9010.56</v>
      </c>
      <c r="G865" s="386">
        <f t="shared" si="90"/>
        <v>92.539385847797064</v>
      </c>
      <c r="H865" s="261">
        <v>100</v>
      </c>
      <c r="I865" s="385">
        <f>I866</f>
        <v>29778</v>
      </c>
      <c r="J865" s="385">
        <f>J866</f>
        <v>18812.72</v>
      </c>
      <c r="K865" s="386">
        <f t="shared" si="91"/>
        <v>63.176573309154413</v>
      </c>
      <c r="L865" s="502">
        <v>100</v>
      </c>
      <c r="M865" s="444"/>
    </row>
    <row r="866" spans="1:13" s="155" customFormat="1" x14ac:dyDescent="0.25">
      <c r="A866" s="492"/>
      <c r="B866" s="387" t="s">
        <v>13</v>
      </c>
      <c r="C866" s="388"/>
      <c r="D866" s="388"/>
      <c r="E866" s="390">
        <v>9737</v>
      </c>
      <c r="F866" s="389">
        <v>9010.56</v>
      </c>
      <c r="G866" s="390">
        <f t="shared" si="90"/>
        <v>92.539385847797064</v>
      </c>
      <c r="H866" s="391"/>
      <c r="I866" s="390">
        <f>E866+'2017'!E686+'2018'!E679</f>
        <v>29778</v>
      </c>
      <c r="J866" s="390">
        <f>F866+'2017'!F686+'2018'!F679</f>
        <v>18812.72</v>
      </c>
      <c r="K866" s="390">
        <f t="shared" si="91"/>
        <v>63.176573309154413</v>
      </c>
      <c r="L866" s="391"/>
      <c r="M866" s="447"/>
    </row>
    <row r="867" spans="1:13" ht="60" x14ac:dyDescent="0.25">
      <c r="A867" s="492">
        <v>274</v>
      </c>
      <c r="B867" s="384" t="s">
        <v>43</v>
      </c>
      <c r="C867" s="262" t="s">
        <v>26</v>
      </c>
      <c r="D867" s="262" t="s">
        <v>280</v>
      </c>
      <c r="E867" s="401">
        <f>E868</f>
        <v>15360967.589999998</v>
      </c>
      <c r="F867" s="401">
        <f>F868</f>
        <v>16686371.5</v>
      </c>
      <c r="G867" s="386">
        <f>F867/E867*100</f>
        <v>108.62838816783157</v>
      </c>
      <c r="H867" s="261">
        <v>100</v>
      </c>
      <c r="I867" s="401">
        <f>I868</f>
        <v>47479594.490000002</v>
      </c>
      <c r="J867" s="401">
        <f>J868</f>
        <v>50339928.511999995</v>
      </c>
      <c r="K867" s="386">
        <f t="shared" si="91"/>
        <v>106.02434383175373</v>
      </c>
      <c r="L867" s="261"/>
      <c r="M867" s="444"/>
    </row>
    <row r="868" spans="1:13" s="155" customFormat="1" x14ac:dyDescent="0.25">
      <c r="A868" s="492"/>
      <c r="B868" s="387" t="s">
        <v>312</v>
      </c>
      <c r="C868" s="388"/>
      <c r="D868" s="388"/>
      <c r="E868" s="404">
        <f>E869+E870+E871+E872+E873+E874+E875</f>
        <v>15360967.589999998</v>
      </c>
      <c r="F868" s="404">
        <f>F869+F870+F871+F872+F873+F874+F875</f>
        <v>16686371.5</v>
      </c>
      <c r="G868" s="390">
        <f>F868/E868*100</f>
        <v>108.62838816783157</v>
      </c>
      <c r="H868" s="391"/>
      <c r="I868" s="404">
        <f>I869+I870+I871+I872+I873+I874+I875</f>
        <v>47479594.490000002</v>
      </c>
      <c r="J868" s="404">
        <f>J869+J870+J871+J872+J873+J874+J875</f>
        <v>50339928.511999995</v>
      </c>
      <c r="K868" s="390">
        <f t="shared" si="91"/>
        <v>106.02434383175373</v>
      </c>
      <c r="L868" s="391"/>
      <c r="M868" s="447"/>
    </row>
    <row r="869" spans="1:13" x14ac:dyDescent="0.25">
      <c r="A869" s="492"/>
      <c r="B869" s="381" t="s">
        <v>28</v>
      </c>
      <c r="C869" s="262"/>
      <c r="D869" s="262"/>
      <c r="E869" s="385">
        <f>E878+E887+E896+E919+E926+E935+E944+E955</f>
        <v>940814</v>
      </c>
      <c r="F869" s="385">
        <f>F878+F887+F896+F919+F926+F935+F944+F955</f>
        <v>892661</v>
      </c>
      <c r="G869" s="386">
        <f t="shared" si="90"/>
        <v>94.881772592669762</v>
      </c>
      <c r="H869" s="261"/>
      <c r="I869" s="385">
        <f>I878+I887+I896+I919+I926+I935+I944+I955</f>
        <v>2800990</v>
      </c>
      <c r="J869" s="385">
        <f>J878+J887+J896+J919+J926+J935+J944+J955</f>
        <v>2287102.5</v>
      </c>
      <c r="K869" s="386">
        <f t="shared" si="91"/>
        <v>81.653361847061205</v>
      </c>
      <c r="L869" s="261"/>
      <c r="M869" s="444"/>
    </row>
    <row r="870" spans="1:13" x14ac:dyDescent="0.25">
      <c r="A870" s="492"/>
      <c r="B870" s="381" t="s">
        <v>29</v>
      </c>
      <c r="C870" s="262"/>
      <c r="D870" s="262"/>
      <c r="E870" s="385">
        <f>E879+E888+E897+E905+E920+E927+E936+E956</f>
        <v>1243230.1399999999</v>
      </c>
      <c r="F870" s="385">
        <f>F879+F888+F897+F905+F920+F927+F936+F956</f>
        <v>1265072.5100000002</v>
      </c>
      <c r="G870" s="386">
        <f t="shared" si="90"/>
        <v>101.75690479962145</v>
      </c>
      <c r="H870" s="261"/>
      <c r="I870" s="385">
        <f>I879+I888+I897+I905+I920+I927+I936+I956</f>
        <v>2459998.34</v>
      </c>
      <c r="J870" s="385">
        <f>J879+J888+J897+J905+J920+J927+J936+J956</f>
        <v>2595542.2000000002</v>
      </c>
      <c r="K870" s="386">
        <f t="shared" si="91"/>
        <v>105.50991672620398</v>
      </c>
      <c r="L870" s="261"/>
      <c r="M870" s="444"/>
    </row>
    <row r="871" spans="1:13" x14ac:dyDescent="0.25">
      <c r="A871" s="492"/>
      <c r="B871" s="381" t="s">
        <v>30</v>
      </c>
      <c r="C871" s="262"/>
      <c r="D871" s="262"/>
      <c r="E871" s="385">
        <f>E880+E889+E898+E928+E937+E957</f>
        <v>1877022.8</v>
      </c>
      <c r="F871" s="385">
        <f>F880+F889+F898+F928+F937+F957</f>
        <v>1875229.3300000003</v>
      </c>
      <c r="G871" s="386">
        <f t="shared" si="90"/>
        <v>99.904451347101386</v>
      </c>
      <c r="H871" s="261"/>
      <c r="I871" s="385">
        <f>I880+I889+I898+I928+I937+I957</f>
        <v>5316488.8499999996</v>
      </c>
      <c r="J871" s="385">
        <f>J880+J889+J898+J928+J937+J957</f>
        <v>5110421.3199999994</v>
      </c>
      <c r="K871" s="386">
        <f t="shared" si="91"/>
        <v>96.123992059157615</v>
      </c>
      <c r="L871" s="261"/>
      <c r="M871" s="444"/>
    </row>
    <row r="872" spans="1:13" x14ac:dyDescent="0.25">
      <c r="A872" s="492"/>
      <c r="B872" s="381" t="s">
        <v>31</v>
      </c>
      <c r="C872" s="262"/>
      <c r="D872" s="262"/>
      <c r="E872" s="385">
        <f>E881+E890+E899+E906+E921+E929+E938+E945+E951+E958</f>
        <v>1289084.71</v>
      </c>
      <c r="F872" s="385">
        <f>F881+F890+F899+F906+F921+F929+F938+F945+F951+F958</f>
        <v>1237778.8599999999</v>
      </c>
      <c r="G872" s="386">
        <f t="shared" si="90"/>
        <v>96.019978392265614</v>
      </c>
      <c r="H872" s="261"/>
      <c r="I872" s="385">
        <f>I881+I890+I899+I906+I921+I929+I938+I945+I951+I958</f>
        <v>3447211.33</v>
      </c>
      <c r="J872" s="385">
        <f>J881+J890+J899+J906+J921+J929+J938+J945+J951+J958</f>
        <v>3036273.912</v>
      </c>
      <c r="K872" s="386">
        <f t="shared" si="91"/>
        <v>88.079134736424763</v>
      </c>
      <c r="L872" s="261"/>
      <c r="M872" s="444"/>
    </row>
    <row r="873" spans="1:13" x14ac:dyDescent="0.25">
      <c r="A873" s="492"/>
      <c r="B873" s="381" t="s">
        <v>32</v>
      </c>
      <c r="C873" s="262"/>
      <c r="D873" s="262"/>
      <c r="E873" s="385">
        <f>E882+E891+E900+E907+E912+E916+E922+E930+E939+E959+E963</f>
        <v>3343122</v>
      </c>
      <c r="F873" s="385">
        <f>F882+F891+F900+F907+F912+F916+F922+F930+F939+F959+F963</f>
        <v>4016605.9799999995</v>
      </c>
      <c r="G873" s="386">
        <f t="shared" si="90"/>
        <v>120.14536053425509</v>
      </c>
      <c r="H873" s="261"/>
      <c r="I873" s="385">
        <f>I882+I891+I900+I907+I912+I916+I922+I930+I939+I959+I963</f>
        <v>7583066</v>
      </c>
      <c r="J873" s="385">
        <f>J882+J891+J900+J907+J912+J916+J922+J930+J939+J959+J963</f>
        <v>8362020.2399999993</v>
      </c>
      <c r="K873" s="386">
        <f t="shared" si="91"/>
        <v>110.2722861702641</v>
      </c>
      <c r="L873" s="261"/>
      <c r="M873" s="444"/>
    </row>
    <row r="874" spans="1:13" x14ac:dyDescent="0.25">
      <c r="A874" s="492"/>
      <c r="B874" s="381" t="s">
        <v>33</v>
      </c>
      <c r="C874" s="262"/>
      <c r="D874" s="262"/>
      <c r="E874" s="385">
        <f>E883+E892+E901+E908+E923+E931+E940+E960</f>
        <v>1654984.94</v>
      </c>
      <c r="F874" s="385">
        <f>F883+F892+F901+F908+F923+F931+F940+F960</f>
        <v>2958055.44</v>
      </c>
      <c r="G874" s="386">
        <f t="shared" si="90"/>
        <v>178.73609411817367</v>
      </c>
      <c r="H874" s="261"/>
      <c r="I874" s="385">
        <f>I883+I892+I901+I908+I923+I931+I940+I960</f>
        <v>2301288.94</v>
      </c>
      <c r="J874" s="385">
        <f>J883+J892+J901+J908+J923+J931+J940+J960</f>
        <v>3875840.64</v>
      </c>
      <c r="K874" s="386">
        <f t="shared" si="91"/>
        <v>168.42042616343517</v>
      </c>
      <c r="L874" s="261"/>
      <c r="M874" s="444"/>
    </row>
    <row r="875" spans="1:13" x14ac:dyDescent="0.25">
      <c r="A875" s="492"/>
      <c r="B875" s="381" t="s">
        <v>34</v>
      </c>
      <c r="C875" s="262"/>
      <c r="D875" s="262"/>
      <c r="E875" s="385">
        <f>E884+E893+E902+E909+E913+E932+E941+E948+E952</f>
        <v>5012709</v>
      </c>
      <c r="F875" s="385">
        <f>F884+F893+F902+F909+F913+F932+F941+F948+F952</f>
        <v>4440968.38</v>
      </c>
      <c r="G875" s="386">
        <f t="shared" si="90"/>
        <v>88.594178916031225</v>
      </c>
      <c r="H875" s="261"/>
      <c r="I875" s="385">
        <f>I884+I893+I902+I909+I913+I932+I941+I948+I952</f>
        <v>23570551.030000001</v>
      </c>
      <c r="J875" s="385">
        <f>J884+J893+J902+J909+J913+J932+J941+J948+J952</f>
        <v>25072727.699999996</v>
      </c>
      <c r="K875" s="386">
        <f t="shared" si="91"/>
        <v>106.37310798584242</v>
      </c>
      <c r="L875" s="261"/>
      <c r="M875" s="444"/>
    </row>
    <row r="876" spans="1:13" ht="30" x14ac:dyDescent="0.25">
      <c r="A876" s="492" t="s">
        <v>669</v>
      </c>
      <c r="B876" s="384" t="s">
        <v>311</v>
      </c>
      <c r="C876" s="262" t="s">
        <v>26</v>
      </c>
      <c r="D876" s="262" t="s">
        <v>280</v>
      </c>
      <c r="E876" s="401">
        <f>E877</f>
        <v>4270504.05</v>
      </c>
      <c r="F876" s="401">
        <f>F877</f>
        <v>3757370.89</v>
      </c>
      <c r="G876" s="386">
        <f t="shared" si="90"/>
        <v>87.98424836993189</v>
      </c>
      <c r="H876" s="261"/>
      <c r="I876" s="401">
        <f>I877</f>
        <v>14385869.850000001</v>
      </c>
      <c r="J876" s="401">
        <f>J877</f>
        <v>11135384.6</v>
      </c>
      <c r="K876" s="261"/>
      <c r="L876" s="261"/>
      <c r="M876" s="444"/>
    </row>
    <row r="877" spans="1:13" s="155" customFormat="1" x14ac:dyDescent="0.25">
      <c r="A877" s="492"/>
      <c r="B877" s="387" t="s">
        <v>312</v>
      </c>
      <c r="C877" s="388"/>
      <c r="D877" s="388"/>
      <c r="E877" s="404">
        <f>E878+E879+E880+E881+E882+E883+E884</f>
        <v>4270504.05</v>
      </c>
      <c r="F877" s="404">
        <f>F878+F879+F880+F881+F882+F883+F884</f>
        <v>3757370.89</v>
      </c>
      <c r="G877" s="390">
        <f t="shared" si="90"/>
        <v>87.98424836993189</v>
      </c>
      <c r="H877" s="391"/>
      <c r="I877" s="404">
        <f>I878+I879+I880+I881+I882+I883+I884</f>
        <v>14385869.850000001</v>
      </c>
      <c r="J877" s="404">
        <f>J878+J879+J880+J881+J882+J883+J884</f>
        <v>11135384.6</v>
      </c>
      <c r="K877" s="390">
        <f t="shared" ref="K877" si="92">J877/I877*100</f>
        <v>77.405014198706922</v>
      </c>
      <c r="L877" s="391"/>
      <c r="M877" s="447"/>
    </row>
    <row r="878" spans="1:13" x14ac:dyDescent="0.25">
      <c r="A878" s="492"/>
      <c r="B878" s="381" t="s">
        <v>28</v>
      </c>
      <c r="C878" s="262"/>
      <c r="D878" s="262"/>
      <c r="E878" s="401">
        <v>353806</v>
      </c>
      <c r="F878" s="385">
        <v>237976</v>
      </c>
      <c r="G878" s="386">
        <f t="shared" si="90"/>
        <v>67.261719699496339</v>
      </c>
      <c r="H878" s="261">
        <v>100</v>
      </c>
      <c r="I878" s="401">
        <f>E878+'2017'!E698+'2018'!E691</f>
        <v>733806</v>
      </c>
      <c r="J878" s="401">
        <f>F878+'2017'!F698+'2018'!F691</f>
        <v>423524.95</v>
      </c>
      <c r="K878" s="386">
        <f>J878/I878*100</f>
        <v>57.716201557359845</v>
      </c>
      <c r="L878" s="261">
        <v>100</v>
      </c>
      <c r="M878" s="444"/>
    </row>
    <row r="879" spans="1:13" x14ac:dyDescent="0.25">
      <c r="A879" s="492"/>
      <c r="B879" s="381" t="s">
        <v>29</v>
      </c>
      <c r="C879" s="262"/>
      <c r="D879" s="262"/>
      <c r="E879" s="401">
        <v>148000</v>
      </c>
      <c r="F879" s="385">
        <v>155855</v>
      </c>
      <c r="G879" s="386">
        <f t="shared" si="90"/>
        <v>105.30743243243244</v>
      </c>
      <c r="H879" s="491">
        <v>100</v>
      </c>
      <c r="I879" s="401">
        <f>E879+'2017'!E699+'2018'!E692</f>
        <v>185176</v>
      </c>
      <c r="J879" s="401">
        <f>F879+'2017'!F699+'2018'!F692</f>
        <v>206257</v>
      </c>
      <c r="K879" s="386">
        <f t="shared" ref="K879:K942" si="93">J879/I879*100</f>
        <v>111.38430466151121</v>
      </c>
      <c r="L879" s="491">
        <v>100</v>
      </c>
      <c r="M879" s="444"/>
    </row>
    <row r="880" spans="1:13" x14ac:dyDescent="0.25">
      <c r="A880" s="492"/>
      <c r="B880" s="381" t="s">
        <v>30</v>
      </c>
      <c r="C880" s="262"/>
      <c r="D880" s="262"/>
      <c r="E880" s="401">
        <v>400000</v>
      </c>
      <c r="F880" s="385">
        <v>399972.1</v>
      </c>
      <c r="G880" s="386">
        <f t="shared" si="90"/>
        <v>99.993024999999989</v>
      </c>
      <c r="H880" s="491">
        <v>100</v>
      </c>
      <c r="I880" s="401">
        <f>E880+'2017'!E700+'2018'!E693</f>
        <v>1725000</v>
      </c>
      <c r="J880" s="401">
        <f>F880+'2017'!F700+'2018'!F693</f>
        <v>1610909.48</v>
      </c>
      <c r="K880" s="386">
        <f t="shared" si="93"/>
        <v>93.386056811594202</v>
      </c>
      <c r="L880" s="491">
        <v>100</v>
      </c>
      <c r="M880" s="445"/>
    </row>
    <row r="881" spans="1:13" x14ac:dyDescent="0.25">
      <c r="A881" s="492"/>
      <c r="B881" s="381" t="s">
        <v>31</v>
      </c>
      <c r="C881" s="262"/>
      <c r="D881" s="262"/>
      <c r="E881" s="401">
        <v>173848.05</v>
      </c>
      <c r="F881" s="385">
        <v>191528.05</v>
      </c>
      <c r="G881" s="386">
        <f t="shared" si="90"/>
        <v>110.16980058159984</v>
      </c>
      <c r="H881" s="491">
        <v>100</v>
      </c>
      <c r="I881" s="401">
        <f>E881+'2017'!E701+'2018'!E694</f>
        <v>503276.87</v>
      </c>
      <c r="J881" s="401">
        <f>F881+'2017'!F701+'2018'!F694</f>
        <v>462231.85</v>
      </c>
      <c r="K881" s="386">
        <f t="shared" si="93"/>
        <v>91.844445384505747</v>
      </c>
      <c r="L881" s="491">
        <v>100</v>
      </c>
      <c r="M881" s="444"/>
    </row>
    <row r="882" spans="1:13" x14ac:dyDescent="0.25">
      <c r="A882" s="492"/>
      <c r="B882" s="381" t="s">
        <v>32</v>
      </c>
      <c r="C882" s="262"/>
      <c r="D882" s="262"/>
      <c r="E882" s="401">
        <v>585000</v>
      </c>
      <c r="F882" s="385">
        <v>579524.44999999995</v>
      </c>
      <c r="G882" s="386">
        <f t="shared" si="90"/>
        <v>99.064008547008541</v>
      </c>
      <c r="H882" s="491">
        <v>100</v>
      </c>
      <c r="I882" s="401">
        <f>E882+'2017'!E702+'2018'!E695</f>
        <v>646000</v>
      </c>
      <c r="J882" s="401">
        <f>F882+'2017'!F702+'2018'!F695</f>
        <v>630834.44999999995</v>
      </c>
      <c r="K882" s="386">
        <f t="shared" si="93"/>
        <v>97.652391640866867</v>
      </c>
      <c r="L882" s="491">
        <v>100</v>
      </c>
      <c r="M882" s="444"/>
    </row>
    <row r="883" spans="1:13" x14ac:dyDescent="0.25">
      <c r="A883" s="492"/>
      <c r="B883" s="381" t="s">
        <v>33</v>
      </c>
      <c r="C883" s="262"/>
      <c r="D883" s="262"/>
      <c r="E883" s="401">
        <v>604850</v>
      </c>
      <c r="F883" s="385">
        <v>974126.81</v>
      </c>
      <c r="G883" s="386">
        <f t="shared" si="90"/>
        <v>161.05262627097628</v>
      </c>
      <c r="H883" s="491">
        <v>100</v>
      </c>
      <c r="I883" s="401">
        <f>E883+'2017'!E703+'2018'!E696</f>
        <v>611569</v>
      </c>
      <c r="J883" s="401">
        <f>F883+'2017'!F703+'2018'!F696</f>
        <v>983728.31</v>
      </c>
      <c r="K883" s="386">
        <f t="shared" si="93"/>
        <v>160.85320053828761</v>
      </c>
      <c r="L883" s="491">
        <v>100</v>
      </c>
      <c r="M883" s="444"/>
    </row>
    <row r="884" spans="1:13" ht="22.5" customHeight="1" x14ac:dyDescent="0.25">
      <c r="A884" s="492"/>
      <c r="B884" s="381" t="s">
        <v>34</v>
      </c>
      <c r="C884" s="262"/>
      <c r="D884" s="262"/>
      <c r="E884" s="401">
        <v>2005000</v>
      </c>
      <c r="F884" s="385">
        <v>1218388.48</v>
      </c>
      <c r="G884" s="386">
        <f t="shared" si="90"/>
        <v>60.767505236907724</v>
      </c>
      <c r="H884" s="261">
        <v>100</v>
      </c>
      <c r="I884" s="401">
        <f>E884+'2017'!E704+'2018'!E697</f>
        <v>9981041.9800000004</v>
      </c>
      <c r="J884" s="401">
        <f>F884+'2017'!F704+'2018'!F697</f>
        <v>6817898.5600000005</v>
      </c>
      <c r="K884" s="386">
        <f t="shared" si="93"/>
        <v>68.308484962408713</v>
      </c>
      <c r="L884" s="261"/>
      <c r="M884" s="445"/>
    </row>
    <row r="885" spans="1:13" ht="30" x14ac:dyDescent="0.25">
      <c r="A885" s="492" t="s">
        <v>674</v>
      </c>
      <c r="B885" s="384" t="s">
        <v>313</v>
      </c>
      <c r="C885" s="262" t="s">
        <v>26</v>
      </c>
      <c r="D885" s="262" t="s">
        <v>280</v>
      </c>
      <c r="E885" s="401">
        <f>E886</f>
        <v>3363553</v>
      </c>
      <c r="F885" s="401">
        <f>F886</f>
        <v>2895046.6</v>
      </c>
      <c r="G885" s="386">
        <f t="shared" si="90"/>
        <v>86.07108614016191</v>
      </c>
      <c r="H885" s="261"/>
      <c r="I885" s="401">
        <f>I886</f>
        <v>14281445.300000001</v>
      </c>
      <c r="J885" s="401">
        <f>J886</f>
        <v>17511255.030000001</v>
      </c>
      <c r="K885" s="386">
        <f t="shared" si="93"/>
        <v>122.61542625521243</v>
      </c>
      <c r="L885" s="261"/>
      <c r="M885" s="444"/>
    </row>
    <row r="886" spans="1:13" x14ac:dyDescent="0.25">
      <c r="A886" s="492"/>
      <c r="B886" s="387" t="s">
        <v>312</v>
      </c>
      <c r="C886" s="262"/>
      <c r="D886" s="262"/>
      <c r="E886" s="404">
        <f>E887+E888+E889+E890+E891+E892+E893</f>
        <v>3363553</v>
      </c>
      <c r="F886" s="404">
        <f>F887+F888+F889+F890+F891+F892+F893</f>
        <v>2895046.6</v>
      </c>
      <c r="G886" s="390">
        <f t="shared" si="90"/>
        <v>86.07108614016191</v>
      </c>
      <c r="H886" s="261"/>
      <c r="I886" s="404">
        <f>I887+I888+I889+I890+I891+I892+I893</f>
        <v>14281445.300000001</v>
      </c>
      <c r="J886" s="404">
        <f>J887+J888+J889+J890+J891+J892+J893</f>
        <v>17511255.030000001</v>
      </c>
      <c r="K886" s="390">
        <f t="shared" si="93"/>
        <v>122.61542625521243</v>
      </c>
      <c r="L886" s="261"/>
      <c r="M886" s="444"/>
    </row>
    <row r="887" spans="1:13" x14ac:dyDescent="0.25">
      <c r="A887" s="492"/>
      <c r="B887" s="381" t="s">
        <v>28</v>
      </c>
      <c r="C887" s="262"/>
      <c r="D887" s="262"/>
      <c r="E887" s="404"/>
      <c r="F887" s="401"/>
      <c r="G887" s="390"/>
      <c r="H887" s="261"/>
      <c r="I887" s="401"/>
      <c r="J887" s="401">
        <f>'2017'!F707+'2018'!F700</f>
        <v>59804.97</v>
      </c>
      <c r="K887" s="386"/>
      <c r="L887" s="261"/>
      <c r="M887" s="444"/>
    </row>
    <row r="888" spans="1:13" x14ac:dyDescent="0.25">
      <c r="A888" s="492"/>
      <c r="B888" s="381" t="s">
        <v>29</v>
      </c>
      <c r="C888" s="262"/>
      <c r="D888" s="262"/>
      <c r="E888" s="401">
        <v>102216</v>
      </c>
      <c r="F888" s="401">
        <v>117055.24</v>
      </c>
      <c r="G888" s="386">
        <f t="shared" si="90"/>
        <v>114.5175315019175</v>
      </c>
      <c r="H888" s="261">
        <v>100</v>
      </c>
      <c r="I888" s="401">
        <f>E888+'2017'!E708+'2018'!E701</f>
        <v>202216</v>
      </c>
      <c r="J888" s="401">
        <f>F888+'2017'!F708+'2018'!F701</f>
        <v>293886.70999999996</v>
      </c>
      <c r="K888" s="386">
        <f t="shared" si="93"/>
        <v>145.33306464374726</v>
      </c>
      <c r="L888" s="261">
        <v>100</v>
      </c>
      <c r="M888" s="444"/>
    </row>
    <row r="889" spans="1:13" x14ac:dyDescent="0.25">
      <c r="A889" s="492"/>
      <c r="B889" s="381" t="s">
        <v>30</v>
      </c>
      <c r="C889" s="262"/>
      <c r="D889" s="262"/>
      <c r="E889" s="401">
        <v>1328511</v>
      </c>
      <c r="F889" s="385">
        <v>1328419.6000000001</v>
      </c>
      <c r="G889" s="386">
        <f t="shared" si="90"/>
        <v>99.993120117183835</v>
      </c>
      <c r="H889" s="491">
        <v>100</v>
      </c>
      <c r="I889" s="401">
        <f>E889+'2017'!E709+'2018'!E702</f>
        <v>3115508</v>
      </c>
      <c r="J889" s="401">
        <f>F889+'2017'!F709+'2018'!F702</f>
        <v>3023133.73</v>
      </c>
      <c r="K889" s="386">
        <f t="shared" si="93"/>
        <v>97.035017403261364</v>
      </c>
      <c r="L889" s="491">
        <v>100</v>
      </c>
      <c r="M889" s="444"/>
    </row>
    <row r="890" spans="1:13" x14ac:dyDescent="0.25">
      <c r="A890" s="492"/>
      <c r="B890" s="381" t="s">
        <v>31</v>
      </c>
      <c r="C890" s="262"/>
      <c r="D890" s="262"/>
      <c r="E890" s="401">
        <v>400000</v>
      </c>
      <c r="F890" s="385">
        <v>262228.84000000003</v>
      </c>
      <c r="G890" s="386">
        <f t="shared" si="90"/>
        <v>65.557210000000012</v>
      </c>
      <c r="H890" s="491">
        <v>100</v>
      </c>
      <c r="I890" s="401">
        <f>E890+'2017'!E710+'2018'!E703</f>
        <v>1266140.3</v>
      </c>
      <c r="J890" s="401">
        <f>F890+'2017'!F710+'2018'!F703</f>
        <v>588779.84</v>
      </c>
      <c r="K890" s="386">
        <f t="shared" si="93"/>
        <v>46.501942952135714</v>
      </c>
      <c r="L890" s="261">
        <v>80</v>
      </c>
      <c r="M890" s="445"/>
    </row>
    <row r="891" spans="1:13" x14ac:dyDescent="0.25">
      <c r="A891" s="492"/>
      <c r="B891" s="381" t="s">
        <v>32</v>
      </c>
      <c r="C891" s="262"/>
      <c r="D891" s="262"/>
      <c r="E891" s="401">
        <v>285000</v>
      </c>
      <c r="F891" s="385">
        <v>291795.34999999998</v>
      </c>
      <c r="G891" s="386">
        <f t="shared" si="90"/>
        <v>102.38433333333332</v>
      </c>
      <c r="H891" s="491">
        <v>100</v>
      </c>
      <c r="I891" s="401">
        <f>E891+'2017'!E711+'2018'!E704</f>
        <v>490416</v>
      </c>
      <c r="J891" s="401">
        <f>F891+'2017'!F711+'2018'!F704</f>
        <v>464338.24</v>
      </c>
      <c r="K891" s="386">
        <f t="shared" si="93"/>
        <v>94.682522593063851</v>
      </c>
      <c r="L891" s="491">
        <v>100</v>
      </c>
      <c r="M891" s="444"/>
    </row>
    <row r="892" spans="1:13" x14ac:dyDescent="0.25">
      <c r="A892" s="492"/>
      <c r="B892" s="381" t="s">
        <v>33</v>
      </c>
      <c r="C892" s="262"/>
      <c r="D892" s="262"/>
      <c r="E892" s="401">
        <v>149026</v>
      </c>
      <c r="F892" s="385">
        <v>308549.23</v>
      </c>
      <c r="G892" s="386">
        <f t="shared" si="90"/>
        <v>207.04389166990995</v>
      </c>
      <c r="H892" s="261"/>
      <c r="I892" s="401">
        <f>E892+'2017'!E712+'2018'!E705</f>
        <v>338785</v>
      </c>
      <c r="J892" s="401">
        <f>F892+'2017'!F712+'2018'!F705</f>
        <v>525890.23</v>
      </c>
      <c r="K892" s="386">
        <f t="shared" si="93"/>
        <v>155.22830999011171</v>
      </c>
      <c r="L892" s="491">
        <v>100</v>
      </c>
      <c r="M892" s="444"/>
    </row>
    <row r="893" spans="1:13" x14ac:dyDescent="0.25">
      <c r="A893" s="492"/>
      <c r="B893" s="381" t="s">
        <v>34</v>
      </c>
      <c r="C893" s="262"/>
      <c r="D893" s="262"/>
      <c r="E893" s="401">
        <v>1098800</v>
      </c>
      <c r="F893" s="385">
        <v>586998.34</v>
      </c>
      <c r="G893" s="386">
        <f t="shared" si="90"/>
        <v>53.421763742264282</v>
      </c>
      <c r="H893" s="261">
        <v>100</v>
      </c>
      <c r="I893" s="401">
        <f>E893+'2017'!E713+'2018'!E706</f>
        <v>8868380</v>
      </c>
      <c r="J893" s="401">
        <f>F893+'2017'!F713+'2018'!F706</f>
        <v>12555421.309999999</v>
      </c>
      <c r="K893" s="386">
        <f t="shared" si="93"/>
        <v>141.57513897690447</v>
      </c>
      <c r="L893" s="261">
        <v>100</v>
      </c>
      <c r="M893" s="444"/>
    </row>
    <row r="894" spans="1:13" ht="30" x14ac:dyDescent="0.25">
      <c r="A894" s="492" t="s">
        <v>675</v>
      </c>
      <c r="B894" s="384" t="s">
        <v>314</v>
      </c>
      <c r="C894" s="262" t="s">
        <v>26</v>
      </c>
      <c r="D894" s="262" t="s">
        <v>280</v>
      </c>
      <c r="E894" s="401">
        <f>E895</f>
        <v>2048385.79</v>
      </c>
      <c r="F894" s="401">
        <f>F895</f>
        <v>2069237.83</v>
      </c>
      <c r="G894" s="386">
        <f t="shared" si="90"/>
        <v>101.0179742557187</v>
      </c>
      <c r="H894" s="261"/>
      <c r="I894" s="401">
        <f>I895</f>
        <v>4408993.1500000004</v>
      </c>
      <c r="J894" s="401">
        <f>J895</f>
        <v>4582154.7699999996</v>
      </c>
      <c r="K894" s="386">
        <f t="shared" si="93"/>
        <v>103.92746402883387</v>
      </c>
      <c r="L894" s="261"/>
      <c r="M894" s="444"/>
    </row>
    <row r="895" spans="1:13" x14ac:dyDescent="0.25">
      <c r="A895" s="492"/>
      <c r="B895" s="387" t="s">
        <v>312</v>
      </c>
      <c r="C895" s="262"/>
      <c r="D895" s="262"/>
      <c r="E895" s="404">
        <f>E896+E897+E898+E899+E900+E901+E902</f>
        <v>2048385.79</v>
      </c>
      <c r="F895" s="404">
        <f>F896+F897+F898+F899+F900+F901+F902</f>
        <v>2069237.83</v>
      </c>
      <c r="G895" s="390">
        <f t="shared" si="90"/>
        <v>101.0179742557187</v>
      </c>
      <c r="H895" s="261"/>
      <c r="I895" s="404">
        <f>I896+I897+I898+I899+I900+I901+I902</f>
        <v>4408993.1500000004</v>
      </c>
      <c r="J895" s="404">
        <f>J896+J897+J898+J899+J900+J901+J902</f>
        <v>4582154.7699999996</v>
      </c>
      <c r="K895" s="390">
        <f t="shared" si="93"/>
        <v>103.92746402883387</v>
      </c>
      <c r="L895" s="261"/>
      <c r="M895" s="444"/>
    </row>
    <row r="896" spans="1:13" x14ac:dyDescent="0.25">
      <c r="A896" s="492"/>
      <c r="B896" s="381" t="s">
        <v>28</v>
      </c>
      <c r="C896" s="262"/>
      <c r="D896" s="262"/>
      <c r="E896" s="401">
        <v>8500</v>
      </c>
      <c r="F896" s="385">
        <v>58606</v>
      </c>
      <c r="G896" s="386">
        <f t="shared" si="90"/>
        <v>689.48235294117649</v>
      </c>
      <c r="H896" s="261">
        <v>100</v>
      </c>
      <c r="I896" s="401">
        <f>E896+'2017'!E716+'2018'!E709</f>
        <v>17000</v>
      </c>
      <c r="J896" s="401">
        <f>F896+'2017'!F716+'2018'!F709</f>
        <v>67095.360000000001</v>
      </c>
      <c r="K896" s="386">
        <f t="shared" si="93"/>
        <v>394.67858823529411</v>
      </c>
      <c r="L896" s="261">
        <v>100</v>
      </c>
      <c r="M896" s="444"/>
    </row>
    <row r="897" spans="1:13" x14ac:dyDescent="0.25">
      <c r="A897" s="492"/>
      <c r="B897" s="381" t="s">
        <v>29</v>
      </c>
      <c r="C897" s="262"/>
      <c r="D897" s="262"/>
      <c r="E897" s="401">
        <v>539620.99</v>
      </c>
      <c r="F897" s="385">
        <v>542812.91</v>
      </c>
      <c r="G897" s="386">
        <f t="shared" si="90"/>
        <v>100.59151146066428</v>
      </c>
      <c r="H897" s="491">
        <v>100</v>
      </c>
      <c r="I897" s="401">
        <f>E897+'2017'!E717+'2018'!E710</f>
        <v>821567.99</v>
      </c>
      <c r="J897" s="401">
        <f>F897+'2017'!F717+'2018'!F710</f>
        <v>838244.47000000009</v>
      </c>
      <c r="K897" s="386">
        <f t="shared" si="93"/>
        <v>102.0298356560849</v>
      </c>
      <c r="L897" s="491">
        <v>100</v>
      </c>
      <c r="M897" s="444"/>
    </row>
    <row r="898" spans="1:13" x14ac:dyDescent="0.25">
      <c r="A898" s="492"/>
      <c r="B898" s="381" t="s">
        <v>30</v>
      </c>
      <c r="C898" s="262"/>
      <c r="D898" s="262"/>
      <c r="E898" s="401">
        <v>61008.800000000003</v>
      </c>
      <c r="F898" s="385">
        <v>59017.86</v>
      </c>
      <c r="G898" s="386">
        <f t="shared" si="90"/>
        <v>96.736634714991936</v>
      </c>
      <c r="H898" s="491">
        <v>100</v>
      </c>
      <c r="I898" s="401">
        <f>E898+'2018'!E711</f>
        <v>88824.760000000009</v>
      </c>
      <c r="J898" s="401">
        <f>F898+'2018'!F711</f>
        <v>86572.510000000009</v>
      </c>
      <c r="K898" s="386">
        <f t="shared" si="93"/>
        <v>97.464389433756978</v>
      </c>
      <c r="L898" s="491">
        <v>100</v>
      </c>
      <c r="M898" s="444"/>
    </row>
    <row r="899" spans="1:13" x14ac:dyDescent="0.25">
      <c r="A899" s="492"/>
      <c r="B899" s="381" t="s">
        <v>31</v>
      </c>
      <c r="C899" s="262"/>
      <c r="D899" s="262"/>
      <c r="E899" s="401">
        <v>221500</v>
      </c>
      <c r="F899" s="385">
        <v>218895.55</v>
      </c>
      <c r="G899" s="386">
        <f t="shared" si="90"/>
        <v>98.824176072234764</v>
      </c>
      <c r="H899" s="491">
        <v>100</v>
      </c>
      <c r="I899" s="401">
        <f>E899+'2017'!E718+'2018'!E712</f>
        <v>334800</v>
      </c>
      <c r="J899" s="401">
        <f>F899+'2017'!F718+'2018'!F712</f>
        <v>348620.33</v>
      </c>
      <c r="K899" s="386">
        <f t="shared" si="93"/>
        <v>104.12793608124254</v>
      </c>
      <c r="L899" s="491">
        <v>100</v>
      </c>
      <c r="M899" s="444"/>
    </row>
    <row r="900" spans="1:13" x14ac:dyDescent="0.25">
      <c r="A900" s="492"/>
      <c r="B900" s="381" t="s">
        <v>32</v>
      </c>
      <c r="C900" s="262"/>
      <c r="D900" s="262"/>
      <c r="E900" s="401">
        <v>428847</v>
      </c>
      <c r="F900" s="385">
        <v>439812.77</v>
      </c>
      <c r="G900" s="386">
        <f t="shared" si="90"/>
        <v>102.55703549284476</v>
      </c>
      <c r="H900" s="491">
        <v>100</v>
      </c>
      <c r="I900" s="401">
        <f>E900+'2017'!E719+'2018'!E713</f>
        <v>926372</v>
      </c>
      <c r="J900" s="401">
        <f>F900+'2017'!F719+'2018'!F713</f>
        <v>882470.01</v>
      </c>
      <c r="K900" s="386">
        <f t="shared" si="93"/>
        <v>95.26086820413397</v>
      </c>
      <c r="L900" s="491">
        <v>100</v>
      </c>
      <c r="M900" s="444"/>
    </row>
    <row r="901" spans="1:13" x14ac:dyDescent="0.25">
      <c r="A901" s="492"/>
      <c r="B901" s="381" t="s">
        <v>33</v>
      </c>
      <c r="C901" s="262"/>
      <c r="D901" s="262"/>
      <c r="E901" s="401">
        <v>92000</v>
      </c>
      <c r="F901" s="385">
        <v>126848.77</v>
      </c>
      <c r="G901" s="386">
        <f t="shared" si="90"/>
        <v>137.87909782608696</v>
      </c>
      <c r="H901" s="491">
        <v>100</v>
      </c>
      <c r="I901" s="401">
        <f>E901+'2017'!E720+'2018'!E714</f>
        <v>310270</v>
      </c>
      <c r="J901" s="401">
        <f>F901+'2017'!F720+'2018'!F714</f>
        <v>339570.84</v>
      </c>
      <c r="K901" s="386">
        <f t="shared" si="93"/>
        <v>109.44365874883167</v>
      </c>
      <c r="L901" s="491">
        <v>100</v>
      </c>
      <c r="M901" s="444"/>
    </row>
    <row r="902" spans="1:13" x14ac:dyDescent="0.25">
      <c r="A902" s="492"/>
      <c r="B902" s="381" t="s">
        <v>34</v>
      </c>
      <c r="C902" s="262"/>
      <c r="D902" s="262"/>
      <c r="E902" s="401">
        <v>696909</v>
      </c>
      <c r="F902" s="385">
        <v>623243.97</v>
      </c>
      <c r="G902" s="386">
        <f t="shared" si="90"/>
        <v>89.429749077713154</v>
      </c>
      <c r="H902" s="261">
        <v>100</v>
      </c>
      <c r="I902" s="401">
        <f>E902+'2017'!E721+'2018'!E715</f>
        <v>1910158.4</v>
      </c>
      <c r="J902" s="401">
        <f>F902+'2017'!F721+'2018'!F715</f>
        <v>2019581.2499999998</v>
      </c>
      <c r="K902" s="386">
        <f t="shared" si="93"/>
        <v>105.72846995306774</v>
      </c>
      <c r="L902" s="261">
        <v>100</v>
      </c>
      <c r="M902" s="444"/>
    </row>
    <row r="903" spans="1:13" ht="60" x14ac:dyDescent="0.25">
      <c r="A903" s="492" t="s">
        <v>676</v>
      </c>
      <c r="B903" s="384" t="s">
        <v>315</v>
      </c>
      <c r="C903" s="262" t="s">
        <v>26</v>
      </c>
      <c r="D903" s="262" t="s">
        <v>526</v>
      </c>
      <c r="E903" s="401">
        <f>E904</f>
        <v>931392.95</v>
      </c>
      <c r="F903" s="401">
        <f>F904</f>
        <v>1682800.5</v>
      </c>
      <c r="G903" s="386">
        <f t="shared" si="90"/>
        <v>180.67567507355514</v>
      </c>
      <c r="H903" s="261"/>
      <c r="I903" s="401">
        <f>I904</f>
        <v>1636675.15</v>
      </c>
      <c r="J903" s="401">
        <f>J904</f>
        <v>2541003.3199999998</v>
      </c>
      <c r="K903" s="386">
        <f t="shared" si="93"/>
        <v>155.25398060818605</v>
      </c>
      <c r="L903" s="261"/>
      <c r="M903" s="444"/>
    </row>
    <row r="904" spans="1:13" x14ac:dyDescent="0.25">
      <c r="A904" s="492"/>
      <c r="B904" s="387" t="s">
        <v>312</v>
      </c>
      <c r="C904" s="262"/>
      <c r="D904" s="262"/>
      <c r="E904" s="404">
        <f>E905+E906+E907+E908+E909</f>
        <v>931392.95</v>
      </c>
      <c r="F904" s="404">
        <f>F905+F906+F907+F908+F909</f>
        <v>1682800.5</v>
      </c>
      <c r="G904" s="390">
        <f t="shared" si="90"/>
        <v>180.67567507355514</v>
      </c>
      <c r="H904" s="261"/>
      <c r="I904" s="404">
        <f>I905+I906+I907+I908+I909</f>
        <v>1636675.15</v>
      </c>
      <c r="J904" s="404">
        <f>J905+J906+J907+J908+J909</f>
        <v>2541003.3199999998</v>
      </c>
      <c r="K904" s="390">
        <f t="shared" si="93"/>
        <v>155.25398060818605</v>
      </c>
      <c r="L904" s="261"/>
      <c r="M904" s="444"/>
    </row>
    <row r="905" spans="1:13" x14ac:dyDescent="0.25">
      <c r="A905" s="492"/>
      <c r="B905" s="381" t="s">
        <v>29</v>
      </c>
      <c r="C905" s="262"/>
      <c r="D905" s="262"/>
      <c r="E905" s="401">
        <v>221162</v>
      </c>
      <c r="F905" s="385">
        <v>196863.97</v>
      </c>
      <c r="G905" s="386">
        <f t="shared" si="90"/>
        <v>89.013469764245215</v>
      </c>
      <c r="H905" s="261">
        <v>100</v>
      </c>
      <c r="I905" s="401">
        <f>E905+'2017'!E724+'2018'!E718</f>
        <v>568444.19999999995</v>
      </c>
      <c r="J905" s="401">
        <f>F905+'2017'!F724+'2018'!F718</f>
        <v>599261.75</v>
      </c>
      <c r="K905" s="386">
        <f t="shared" si="93"/>
        <v>105.42138524766371</v>
      </c>
      <c r="L905" s="261">
        <v>100</v>
      </c>
      <c r="M905" s="444"/>
    </row>
    <row r="906" spans="1:13" x14ac:dyDescent="0.25">
      <c r="A906" s="492"/>
      <c r="B906" s="381" t="s">
        <v>31</v>
      </c>
      <c r="C906" s="262"/>
      <c r="D906" s="262"/>
      <c r="E906" s="401">
        <v>1332</v>
      </c>
      <c r="F906" s="401">
        <v>1332</v>
      </c>
      <c r="G906" s="386">
        <f t="shared" si="90"/>
        <v>100</v>
      </c>
      <c r="H906" s="491">
        <v>100</v>
      </c>
      <c r="I906" s="401">
        <f>E906+'2018'!E720</f>
        <v>1332</v>
      </c>
      <c r="J906" s="401">
        <f>F906+'2018'!F720</f>
        <v>4895.8500000000004</v>
      </c>
      <c r="K906" s="386">
        <f t="shared" si="93"/>
        <v>367.55630630630634</v>
      </c>
      <c r="L906" s="491">
        <v>100</v>
      </c>
      <c r="M906" s="444"/>
    </row>
    <row r="907" spans="1:13" x14ac:dyDescent="0.25">
      <c r="A907" s="492"/>
      <c r="B907" s="381" t="s">
        <v>32</v>
      </c>
      <c r="C907" s="262"/>
      <c r="D907" s="262"/>
      <c r="E907" s="401">
        <v>27500</v>
      </c>
      <c r="F907" s="385">
        <v>50352.53</v>
      </c>
      <c r="G907" s="386">
        <f t="shared" si="90"/>
        <v>183.10010909090909</v>
      </c>
      <c r="H907" s="491">
        <v>100</v>
      </c>
      <c r="I907" s="401">
        <f>E907</f>
        <v>27500</v>
      </c>
      <c r="J907" s="401">
        <f>F907</f>
        <v>50352.53</v>
      </c>
      <c r="K907" s="386">
        <f t="shared" si="93"/>
        <v>183.10010909090909</v>
      </c>
      <c r="L907" s="491">
        <v>100</v>
      </c>
      <c r="M907" s="444"/>
    </row>
    <row r="908" spans="1:13" x14ac:dyDescent="0.25">
      <c r="A908" s="492"/>
      <c r="B908" s="381" t="s">
        <v>33</v>
      </c>
      <c r="C908" s="262"/>
      <c r="D908" s="262"/>
      <c r="E908" s="401">
        <v>527398.94999999995</v>
      </c>
      <c r="F908" s="385">
        <v>1065306</v>
      </c>
      <c r="G908" s="386">
        <f t="shared" si="90"/>
        <v>201.99243855149885</v>
      </c>
      <c r="H908" s="491">
        <v>100</v>
      </c>
      <c r="I908" s="401">
        <f>E908+'2018'!E721</f>
        <v>527398.94999999995</v>
      </c>
      <c r="J908" s="401">
        <f>F908+'2018'!F721</f>
        <v>1112709.46</v>
      </c>
      <c r="K908" s="386">
        <f t="shared" si="93"/>
        <v>210.98059827384944</v>
      </c>
      <c r="L908" s="491">
        <v>100</v>
      </c>
      <c r="M908" s="444"/>
    </row>
    <row r="909" spans="1:13" x14ac:dyDescent="0.25">
      <c r="A909" s="492"/>
      <c r="B909" s="381" t="s">
        <v>34</v>
      </c>
      <c r="C909" s="469"/>
      <c r="D909" s="469"/>
      <c r="E909" s="401">
        <v>154000</v>
      </c>
      <c r="F909" s="385">
        <v>368946</v>
      </c>
      <c r="G909" s="386">
        <f t="shared" si="90"/>
        <v>239.57532467532468</v>
      </c>
      <c r="H909" s="470">
        <v>100</v>
      </c>
      <c r="I909" s="401">
        <f>E909+'2017'!E725+'2018'!E719</f>
        <v>512000</v>
      </c>
      <c r="J909" s="401">
        <f>F909+'2017'!F725+'2018'!F719</f>
        <v>773783.73</v>
      </c>
      <c r="K909" s="386">
        <f t="shared" si="93"/>
        <v>151.12963476562498</v>
      </c>
      <c r="L909" s="470">
        <v>100</v>
      </c>
      <c r="M909" s="444"/>
    </row>
    <row r="910" spans="1:13" ht="30" x14ac:dyDescent="0.25">
      <c r="A910" s="492" t="s">
        <v>671</v>
      </c>
      <c r="B910" s="381" t="s">
        <v>316</v>
      </c>
      <c r="C910" s="262" t="s">
        <v>26</v>
      </c>
      <c r="D910" s="262" t="s">
        <v>280</v>
      </c>
      <c r="E910" s="401">
        <f>E911</f>
        <v>1325400</v>
      </c>
      <c r="F910" s="401">
        <f>F911</f>
        <v>2030400</v>
      </c>
      <c r="G910" s="386">
        <f t="shared" si="90"/>
        <v>153.19148936170214</v>
      </c>
      <c r="H910" s="261"/>
      <c r="I910" s="401">
        <f>I911</f>
        <v>4319500</v>
      </c>
      <c r="J910" s="401">
        <f>J911</f>
        <v>5019450.72</v>
      </c>
      <c r="K910" s="386">
        <f t="shared" si="93"/>
        <v>116.20443847667555</v>
      </c>
      <c r="L910" s="261"/>
      <c r="M910" s="444"/>
    </row>
    <row r="911" spans="1:13" x14ac:dyDescent="0.25">
      <c r="A911" s="492"/>
      <c r="B911" s="387" t="s">
        <v>312</v>
      </c>
      <c r="C911" s="262"/>
      <c r="D911" s="262"/>
      <c r="E911" s="404">
        <f>E912+E913</f>
        <v>1325400</v>
      </c>
      <c r="F911" s="404">
        <f>F912+F913</f>
        <v>2030400</v>
      </c>
      <c r="G911" s="390">
        <f t="shared" si="90"/>
        <v>153.19148936170214</v>
      </c>
      <c r="H911" s="261"/>
      <c r="I911" s="404">
        <f>I912+I913</f>
        <v>4319500</v>
      </c>
      <c r="J911" s="404">
        <f>J912+J913</f>
        <v>5019450.72</v>
      </c>
      <c r="K911" s="390">
        <f t="shared" si="93"/>
        <v>116.20443847667555</v>
      </c>
      <c r="L911" s="261"/>
      <c r="M911" s="444"/>
    </row>
    <row r="912" spans="1:13" x14ac:dyDescent="0.25">
      <c r="A912" s="492"/>
      <c r="B912" s="381" t="s">
        <v>32</v>
      </c>
      <c r="C912" s="262"/>
      <c r="D912" s="262"/>
      <c r="E912" s="401">
        <v>1325400</v>
      </c>
      <c r="F912" s="385">
        <v>2030400</v>
      </c>
      <c r="G912" s="386">
        <f t="shared" si="90"/>
        <v>153.19148936170214</v>
      </c>
      <c r="H912" s="261"/>
      <c r="I912" s="401">
        <f>E912+'2017'!E728+'2018'!E724</f>
        <v>4300500</v>
      </c>
      <c r="J912" s="401">
        <f>F912+'2017'!F728+'2018'!F724</f>
        <v>5005450.72</v>
      </c>
      <c r="K912" s="386">
        <f t="shared" si="93"/>
        <v>116.39229670968491</v>
      </c>
      <c r="L912" s="491">
        <v>100</v>
      </c>
      <c r="M912" s="444"/>
    </row>
    <row r="913" spans="1:13" ht="29.25" customHeight="1" x14ac:dyDescent="0.25">
      <c r="A913" s="492"/>
      <c r="B913" s="381" t="s">
        <v>34</v>
      </c>
      <c r="C913" s="469"/>
      <c r="D913" s="469"/>
      <c r="E913" s="401"/>
      <c r="F913" s="385"/>
      <c r="G913" s="386"/>
      <c r="H913" s="470"/>
      <c r="I913" s="401">
        <f>'2017'!E729</f>
        <v>19000</v>
      </c>
      <c r="J913" s="401">
        <f>'2017'!F729</f>
        <v>14000</v>
      </c>
      <c r="K913" s="386">
        <f t="shared" si="93"/>
        <v>73.68421052631578</v>
      </c>
      <c r="L913" s="470">
        <v>100</v>
      </c>
      <c r="M913" s="444"/>
    </row>
    <row r="914" spans="1:13" ht="30" x14ac:dyDescent="0.25">
      <c r="A914" s="492"/>
      <c r="B914" s="381" t="s">
        <v>563</v>
      </c>
      <c r="C914" s="469" t="s">
        <v>317</v>
      </c>
      <c r="D914" s="469" t="s">
        <v>591</v>
      </c>
      <c r="E914" s="401">
        <f>E915</f>
        <v>420000</v>
      </c>
      <c r="F914" s="401">
        <f>F915</f>
        <v>254648.71</v>
      </c>
      <c r="G914" s="386">
        <f t="shared" si="90"/>
        <v>60.630645238095241</v>
      </c>
      <c r="H914" s="470"/>
      <c r="I914" s="401">
        <f>I915</f>
        <v>422000</v>
      </c>
      <c r="J914" s="401">
        <f>J915</f>
        <v>256648.71</v>
      </c>
      <c r="K914" s="386">
        <f t="shared" si="93"/>
        <v>60.817229857819896</v>
      </c>
      <c r="L914" s="470"/>
      <c r="M914" s="444"/>
    </row>
    <row r="915" spans="1:13" x14ac:dyDescent="0.25">
      <c r="A915" s="492"/>
      <c r="B915" s="387" t="s">
        <v>312</v>
      </c>
      <c r="C915" s="469"/>
      <c r="D915" s="469"/>
      <c r="E915" s="404">
        <f>E916</f>
        <v>420000</v>
      </c>
      <c r="F915" s="404">
        <f>F916</f>
        <v>254648.71</v>
      </c>
      <c r="G915" s="390">
        <f t="shared" si="90"/>
        <v>60.630645238095241</v>
      </c>
      <c r="H915" s="470"/>
      <c r="I915" s="404">
        <f>I916</f>
        <v>422000</v>
      </c>
      <c r="J915" s="404">
        <f>J916</f>
        <v>256648.71</v>
      </c>
      <c r="K915" s="390">
        <f t="shared" si="93"/>
        <v>60.817229857819896</v>
      </c>
      <c r="L915" s="470"/>
      <c r="M915" s="444"/>
    </row>
    <row r="916" spans="1:13" ht="19.5" customHeight="1" x14ac:dyDescent="0.25">
      <c r="A916" s="492"/>
      <c r="B916" s="381" t="s">
        <v>32</v>
      </c>
      <c r="C916" s="469"/>
      <c r="D916" s="469"/>
      <c r="E916" s="401">
        <v>420000</v>
      </c>
      <c r="F916" s="385">
        <v>254648.71</v>
      </c>
      <c r="G916" s="386">
        <f t="shared" si="90"/>
        <v>60.630645238095241</v>
      </c>
      <c r="H916" s="491">
        <v>100</v>
      </c>
      <c r="I916" s="401">
        <f>E916+'2017'!E732</f>
        <v>422000</v>
      </c>
      <c r="J916" s="401">
        <f>F916+'2017'!F732</f>
        <v>256648.71</v>
      </c>
      <c r="K916" s="386">
        <f t="shared" si="93"/>
        <v>60.817229857819896</v>
      </c>
      <c r="L916" s="491">
        <v>100</v>
      </c>
      <c r="M916" s="444"/>
    </row>
    <row r="917" spans="1:13" ht="75" x14ac:dyDescent="0.25">
      <c r="A917" s="492" t="s">
        <v>672</v>
      </c>
      <c r="B917" s="384" t="s">
        <v>318</v>
      </c>
      <c r="C917" s="262" t="s">
        <v>317</v>
      </c>
      <c r="D917" s="262" t="s">
        <v>280</v>
      </c>
      <c r="E917" s="401">
        <f>E918</f>
        <v>7000</v>
      </c>
      <c r="F917" s="401">
        <f>F918</f>
        <v>11720</v>
      </c>
      <c r="G917" s="386">
        <f t="shared" si="90"/>
        <v>167.42857142857144</v>
      </c>
      <c r="H917" s="261">
        <v>100</v>
      </c>
      <c r="I917" s="401">
        <f>I918</f>
        <v>39500</v>
      </c>
      <c r="J917" s="401">
        <f>J918</f>
        <v>42200</v>
      </c>
      <c r="K917" s="386">
        <f t="shared" si="93"/>
        <v>106.83544303797467</v>
      </c>
      <c r="L917" s="261"/>
      <c r="M917" s="444"/>
    </row>
    <row r="918" spans="1:13" x14ac:dyDescent="0.25">
      <c r="A918" s="492"/>
      <c r="B918" s="387" t="s">
        <v>312</v>
      </c>
      <c r="C918" s="262"/>
      <c r="D918" s="262"/>
      <c r="E918" s="404">
        <f>E919+E920+E921+E922+E923</f>
        <v>7000</v>
      </c>
      <c r="F918" s="404">
        <f>F919+F920+F921+F922+F923</f>
        <v>11720</v>
      </c>
      <c r="G918" s="390">
        <f t="shared" si="90"/>
        <v>167.42857142857144</v>
      </c>
      <c r="H918" s="404"/>
      <c r="I918" s="404">
        <f>I919+I920+I921+I922+I923</f>
        <v>39500</v>
      </c>
      <c r="J918" s="404">
        <f>J919+J920+J921+J922+J923</f>
        <v>42200</v>
      </c>
      <c r="K918" s="390">
        <f t="shared" si="93"/>
        <v>106.83544303797467</v>
      </c>
      <c r="L918" s="261"/>
      <c r="M918" s="444"/>
    </row>
    <row r="919" spans="1:13" x14ac:dyDescent="0.25">
      <c r="A919" s="492"/>
      <c r="B919" s="381" t="s">
        <v>28</v>
      </c>
      <c r="C919" s="262"/>
      <c r="D919" s="262"/>
      <c r="E919" s="401">
        <v>2000</v>
      </c>
      <c r="F919" s="401">
        <v>2000</v>
      </c>
      <c r="G919" s="386">
        <f t="shared" si="90"/>
        <v>100</v>
      </c>
      <c r="H919" s="261">
        <v>100</v>
      </c>
      <c r="I919" s="401">
        <f>E919+'2017'!E735+'2018'!E727</f>
        <v>4000</v>
      </c>
      <c r="J919" s="401">
        <f>F919+'2017'!F735+'2018'!F727</f>
        <v>3790</v>
      </c>
      <c r="K919" s="386">
        <f t="shared" si="93"/>
        <v>94.75</v>
      </c>
      <c r="L919" s="261">
        <v>100</v>
      </c>
      <c r="M919" s="444"/>
    </row>
    <row r="920" spans="1:13" x14ac:dyDescent="0.25">
      <c r="A920" s="492"/>
      <c r="B920" s="381" t="s">
        <v>29</v>
      </c>
      <c r="C920" s="469"/>
      <c r="D920" s="469"/>
      <c r="E920" s="401"/>
      <c r="F920" s="440"/>
      <c r="G920" s="386"/>
      <c r="H920" s="491"/>
      <c r="I920" s="401">
        <f>'2017'!E736</f>
        <v>2500</v>
      </c>
      <c r="J920" s="401">
        <f>'2017'!F736</f>
        <v>2500</v>
      </c>
      <c r="K920" s="386">
        <f t="shared" si="93"/>
        <v>100</v>
      </c>
      <c r="L920" s="491">
        <v>100</v>
      </c>
      <c r="M920" s="444"/>
    </row>
    <row r="921" spans="1:13" x14ac:dyDescent="0.25">
      <c r="A921" s="492"/>
      <c r="B921" s="381" t="s">
        <v>31</v>
      </c>
      <c r="C921" s="469"/>
      <c r="D921" s="469"/>
      <c r="E921" s="401">
        <v>5000</v>
      </c>
      <c r="F921" s="440">
        <v>4920</v>
      </c>
      <c r="G921" s="386">
        <f t="shared" si="90"/>
        <v>98.4</v>
      </c>
      <c r="H921" s="491">
        <v>100</v>
      </c>
      <c r="I921" s="401">
        <f>E921</f>
        <v>5000</v>
      </c>
      <c r="J921" s="401">
        <f>F921</f>
        <v>4920</v>
      </c>
      <c r="K921" s="386">
        <f t="shared" si="93"/>
        <v>98.4</v>
      </c>
      <c r="L921" s="491">
        <v>100</v>
      </c>
      <c r="M921" s="444"/>
    </row>
    <row r="922" spans="1:13" x14ac:dyDescent="0.25">
      <c r="A922" s="492"/>
      <c r="B922" s="381" t="s">
        <v>32</v>
      </c>
      <c r="C922" s="262"/>
      <c r="D922" s="262"/>
      <c r="E922" s="401"/>
      <c r="F922" s="385">
        <v>4800</v>
      </c>
      <c r="G922" s="386"/>
      <c r="H922" s="261"/>
      <c r="I922" s="401">
        <f>'2017'!E737+'2018'!E728</f>
        <v>20000</v>
      </c>
      <c r="J922" s="401">
        <f>'2017'!F737+'2018'!F728+F922</f>
        <v>22990</v>
      </c>
      <c r="K922" s="386">
        <f t="shared" si="93"/>
        <v>114.95</v>
      </c>
      <c r="L922" s="491">
        <v>100</v>
      </c>
      <c r="M922" s="444"/>
    </row>
    <row r="923" spans="1:13" x14ac:dyDescent="0.25">
      <c r="A923" s="492"/>
      <c r="B923" s="381" t="s">
        <v>33</v>
      </c>
      <c r="C923" s="262"/>
      <c r="D923" s="262"/>
      <c r="E923" s="401"/>
      <c r="F923" s="440"/>
      <c r="G923" s="386"/>
      <c r="H923" s="261"/>
      <c r="I923" s="401">
        <f>'2018'!E729</f>
        <v>8000</v>
      </c>
      <c r="J923" s="401">
        <f>'2018'!F729</f>
        <v>8000</v>
      </c>
      <c r="K923" s="386">
        <f t="shared" si="93"/>
        <v>100</v>
      </c>
      <c r="L923" s="261"/>
      <c r="M923" s="444"/>
    </row>
    <row r="924" spans="1:13" ht="30" x14ac:dyDescent="0.25">
      <c r="A924" s="492" t="s">
        <v>670</v>
      </c>
      <c r="B924" s="384" t="s">
        <v>319</v>
      </c>
      <c r="C924" s="262" t="s">
        <v>26</v>
      </c>
      <c r="D924" s="262" t="s">
        <v>280</v>
      </c>
      <c r="E924" s="401">
        <f>E925</f>
        <v>1533696.44</v>
      </c>
      <c r="F924" s="401">
        <f>F925</f>
        <v>1937864.69</v>
      </c>
      <c r="G924" s="386">
        <f t="shared" si="90"/>
        <v>126.35255839806214</v>
      </c>
      <c r="H924" s="261">
        <v>100</v>
      </c>
      <c r="I924" s="401">
        <f>I925</f>
        <v>4324760.53</v>
      </c>
      <c r="J924" s="401">
        <f>J925</f>
        <v>5071752.34</v>
      </c>
      <c r="K924" s="386">
        <f t="shared" si="93"/>
        <v>117.27244329063463</v>
      </c>
      <c r="L924" s="261"/>
      <c r="M924" s="444"/>
    </row>
    <row r="925" spans="1:13" x14ac:dyDescent="0.25">
      <c r="A925" s="492"/>
      <c r="B925" s="387" t="s">
        <v>312</v>
      </c>
      <c r="C925" s="262"/>
      <c r="D925" s="262"/>
      <c r="E925" s="404">
        <f>E926+E927+E928+E929+E930+E931+E932</f>
        <v>1533696.44</v>
      </c>
      <c r="F925" s="404">
        <f>F926+F927+F928+F929+F930+F931+F932</f>
        <v>1937864.69</v>
      </c>
      <c r="G925" s="390">
        <f t="shared" si="90"/>
        <v>126.35255839806214</v>
      </c>
      <c r="H925" s="261"/>
      <c r="I925" s="404">
        <f>I926+I927+I928+I929+I930+I931+I932</f>
        <v>4324760.53</v>
      </c>
      <c r="J925" s="404">
        <f>J926+J927+J928+J929+J930+J931+J932</f>
        <v>5071752.34</v>
      </c>
      <c r="K925" s="390">
        <f t="shared" si="93"/>
        <v>117.27244329063463</v>
      </c>
      <c r="L925" s="261"/>
      <c r="M925" s="444"/>
    </row>
    <row r="926" spans="1:13" x14ac:dyDescent="0.25">
      <c r="A926" s="492"/>
      <c r="B926" s="381" t="s">
        <v>28</v>
      </c>
      <c r="C926" s="262"/>
      <c r="D926" s="262"/>
      <c r="E926" s="440">
        <v>238448</v>
      </c>
      <c r="F926" s="385">
        <v>254909</v>
      </c>
      <c r="G926" s="386">
        <f t="shared" si="90"/>
        <v>106.90339193450984</v>
      </c>
      <c r="H926" s="261">
        <v>100</v>
      </c>
      <c r="I926" s="440">
        <f>E926+'2017'!E740+'2018'!E732</f>
        <v>1149107</v>
      </c>
      <c r="J926" s="440">
        <f>F926+'2017'!F740+'2018'!F732</f>
        <v>817640.5</v>
      </c>
      <c r="K926" s="386">
        <f t="shared" si="93"/>
        <v>71.154426872345226</v>
      </c>
      <c r="L926" s="261">
        <v>100</v>
      </c>
      <c r="M926" s="444"/>
    </row>
    <row r="927" spans="1:13" x14ac:dyDescent="0.25">
      <c r="A927" s="492"/>
      <c r="B927" s="381" t="s">
        <v>29</v>
      </c>
      <c r="C927" s="262"/>
      <c r="D927" s="262"/>
      <c r="E927" s="440">
        <v>16057.95</v>
      </c>
      <c r="F927" s="385">
        <v>45069.5</v>
      </c>
      <c r="G927" s="386"/>
      <c r="H927" s="491">
        <v>100</v>
      </c>
      <c r="I927" s="401">
        <f>E927+'2017'!E741+'2018'!E733</f>
        <v>26487.95</v>
      </c>
      <c r="J927" s="401">
        <f>F927+'2017'!F741+'2018'!F733</f>
        <v>62947.5</v>
      </c>
      <c r="K927" s="386">
        <f t="shared" si="93"/>
        <v>237.64579742864208</v>
      </c>
      <c r="L927" s="491">
        <v>100</v>
      </c>
      <c r="M927" s="444"/>
    </row>
    <row r="928" spans="1:13" x14ac:dyDescent="0.25">
      <c r="A928" s="492"/>
      <c r="B928" s="381" t="s">
        <v>30</v>
      </c>
      <c r="C928" s="262"/>
      <c r="D928" s="262"/>
      <c r="E928" s="440"/>
      <c r="F928" s="385"/>
      <c r="G928" s="386"/>
      <c r="H928" s="491"/>
      <c r="I928" s="401">
        <f>E928+'2018'!E734</f>
        <v>107782.09</v>
      </c>
      <c r="J928" s="401">
        <f>F928+'2018'!F734</f>
        <v>104078.3</v>
      </c>
      <c r="K928" s="386">
        <f t="shared" si="93"/>
        <v>96.563631304607284</v>
      </c>
      <c r="L928" s="491">
        <v>100</v>
      </c>
      <c r="M928" s="444"/>
    </row>
    <row r="929" spans="1:13" x14ac:dyDescent="0.25">
      <c r="A929" s="492"/>
      <c r="B929" s="381" t="s">
        <v>31</v>
      </c>
      <c r="C929" s="262"/>
      <c r="D929" s="262"/>
      <c r="E929" s="440">
        <v>272153.5</v>
      </c>
      <c r="F929" s="385">
        <v>344102.5</v>
      </c>
      <c r="G929" s="386">
        <f t="shared" si="90"/>
        <v>126.43691887115176</v>
      </c>
      <c r="H929" s="491">
        <v>100</v>
      </c>
      <c r="I929" s="401">
        <f>E929+'2017'!E742+'2018'!E735</f>
        <v>812211</v>
      </c>
      <c r="J929" s="401">
        <f>F929+'2017'!F742+'2018'!F735</f>
        <v>1100146</v>
      </c>
      <c r="K929" s="386">
        <f t="shared" si="93"/>
        <v>135.4507634100006</v>
      </c>
      <c r="L929" s="491">
        <v>100</v>
      </c>
      <c r="M929" s="444"/>
    </row>
    <row r="930" spans="1:13" x14ac:dyDescent="0.25">
      <c r="A930" s="492"/>
      <c r="B930" s="381" t="s">
        <v>32</v>
      </c>
      <c r="C930" s="262"/>
      <c r="D930" s="262"/>
      <c r="E930" s="440">
        <v>167293</v>
      </c>
      <c r="F930" s="385">
        <v>252494.5</v>
      </c>
      <c r="G930" s="386">
        <f t="shared" ref="G930:G966" si="94">F930/E930*100</f>
        <v>150.92950691302087</v>
      </c>
      <c r="H930" s="491">
        <v>100</v>
      </c>
      <c r="I930" s="401">
        <f>E930+'2017'!E743+'2018'!E736</f>
        <v>462624.5</v>
      </c>
      <c r="J930" s="401">
        <f>F930+'2017'!F743+'2018'!F736</f>
        <v>742251.51</v>
      </c>
      <c r="K930" s="386">
        <f t="shared" si="93"/>
        <v>160.44362328411054</v>
      </c>
      <c r="L930" s="491">
        <v>100</v>
      </c>
      <c r="M930" s="444"/>
    </row>
    <row r="931" spans="1:13" x14ac:dyDescent="0.25">
      <c r="A931" s="492"/>
      <c r="B931" s="381" t="s">
        <v>33</v>
      </c>
      <c r="C931" s="262"/>
      <c r="D931" s="262"/>
      <c r="E931" s="440">
        <v>189743.99</v>
      </c>
      <c r="F931" s="385">
        <v>391308.5</v>
      </c>
      <c r="G931" s="386">
        <f t="shared" si="94"/>
        <v>206.22972037217093</v>
      </c>
      <c r="H931" s="491">
        <v>100</v>
      </c>
      <c r="I931" s="401">
        <f>E931+'2017'!E744+'2018'!E737</f>
        <v>257847.99</v>
      </c>
      <c r="J931" s="401">
        <f>F931+'2017'!F744+'2018'!F737</f>
        <v>660828.5</v>
      </c>
      <c r="K931" s="386">
        <f t="shared" si="93"/>
        <v>256.28607770027605</v>
      </c>
      <c r="L931" s="491">
        <v>100</v>
      </c>
      <c r="M931" s="444"/>
    </row>
    <row r="932" spans="1:13" x14ac:dyDescent="0.25">
      <c r="A932" s="492"/>
      <c r="B932" s="381" t="s">
        <v>34</v>
      </c>
      <c r="C932" s="262"/>
      <c r="D932" s="262"/>
      <c r="E932" s="440">
        <v>650000</v>
      </c>
      <c r="F932" s="385">
        <v>649980.68999999994</v>
      </c>
      <c r="G932" s="386">
        <f t="shared" si="94"/>
        <v>99.997029230769215</v>
      </c>
      <c r="H932" s="261">
        <v>100</v>
      </c>
      <c r="I932" s="401">
        <f>E932+'2017'!E745+'2018'!E738</f>
        <v>1508700</v>
      </c>
      <c r="J932" s="401">
        <f>F932+'2017'!F745+'2018'!F738</f>
        <v>1583860.03</v>
      </c>
      <c r="K932" s="386">
        <f t="shared" si="93"/>
        <v>104.98177437528999</v>
      </c>
      <c r="L932" s="261">
        <v>100</v>
      </c>
      <c r="M932" s="444"/>
    </row>
    <row r="933" spans="1:13" ht="60" x14ac:dyDescent="0.25">
      <c r="A933" s="492" t="s">
        <v>677</v>
      </c>
      <c r="B933" s="384" t="s">
        <v>320</v>
      </c>
      <c r="C933" s="262" t="s">
        <v>26</v>
      </c>
      <c r="D933" s="262" t="s">
        <v>280</v>
      </c>
      <c r="E933" s="401">
        <f>E934</f>
        <v>249092</v>
      </c>
      <c r="F933" s="401">
        <f>F934</f>
        <v>252683.29</v>
      </c>
      <c r="G933" s="386">
        <f t="shared" si="94"/>
        <v>101.44175244487981</v>
      </c>
      <c r="H933" s="261">
        <v>100</v>
      </c>
      <c r="I933" s="401">
        <f>I934</f>
        <v>892855.6</v>
      </c>
      <c r="J933" s="401">
        <f>J934</f>
        <v>842709.98</v>
      </c>
      <c r="K933" s="386">
        <f t="shared" si="93"/>
        <v>94.38368085500052</v>
      </c>
      <c r="L933" s="261"/>
      <c r="M933" s="444"/>
    </row>
    <row r="934" spans="1:13" x14ac:dyDescent="0.25">
      <c r="A934" s="492"/>
      <c r="B934" s="387" t="s">
        <v>312</v>
      </c>
      <c r="C934" s="262"/>
      <c r="D934" s="262"/>
      <c r="E934" s="404">
        <f>E935+E936+E937+E938+E939+E940+E941</f>
        <v>249092</v>
      </c>
      <c r="F934" s="404">
        <f>F935+F936+F937+F938+F939+F940+F941</f>
        <v>252683.29</v>
      </c>
      <c r="G934" s="390">
        <f t="shared" si="94"/>
        <v>101.44175244487981</v>
      </c>
      <c r="H934" s="261"/>
      <c r="I934" s="404">
        <f>I935+I936+I937+I938+I939+I940+I941</f>
        <v>892855.6</v>
      </c>
      <c r="J934" s="404">
        <f>J935+J936+J937+J938+J939+J940+J941</f>
        <v>842709.98</v>
      </c>
      <c r="K934" s="390">
        <f t="shared" si="93"/>
        <v>94.38368085500052</v>
      </c>
      <c r="L934" s="261"/>
      <c r="M934" s="444"/>
    </row>
    <row r="935" spans="1:13" x14ac:dyDescent="0.25">
      <c r="A935" s="492"/>
      <c r="B935" s="381" t="s">
        <v>28</v>
      </c>
      <c r="C935" s="262"/>
      <c r="D935" s="262"/>
      <c r="E935" s="401">
        <v>38410</v>
      </c>
      <c r="F935" s="385">
        <v>38540</v>
      </c>
      <c r="G935" s="386">
        <f t="shared" si="94"/>
        <v>100.33845352772714</v>
      </c>
      <c r="H935" s="261">
        <v>100</v>
      </c>
      <c r="I935" s="401">
        <f>E935+'2017'!E748+'2018'!E741</f>
        <v>108255</v>
      </c>
      <c r="J935" s="401">
        <f>F935+'2017'!F748+'2018'!F741</f>
        <v>108846.68</v>
      </c>
      <c r="K935" s="386">
        <f t="shared" si="93"/>
        <v>100.54656135975245</v>
      </c>
      <c r="L935" s="261">
        <v>100</v>
      </c>
      <c r="M935" s="444"/>
    </row>
    <row r="936" spans="1:13" x14ac:dyDescent="0.25">
      <c r="A936" s="492"/>
      <c r="B936" s="381" t="s">
        <v>29</v>
      </c>
      <c r="C936" s="262"/>
      <c r="D936" s="262"/>
      <c r="E936" s="401">
        <v>3694</v>
      </c>
      <c r="F936" s="385">
        <v>3679.5</v>
      </c>
      <c r="G936" s="386">
        <f t="shared" si="94"/>
        <v>99.607471575527882</v>
      </c>
      <c r="H936" s="491">
        <v>100</v>
      </c>
      <c r="I936" s="401">
        <f>E936+'2017'!E749+'2018'!E742</f>
        <v>77752</v>
      </c>
      <c r="J936" s="401">
        <f>F936+'2017'!F749+'2018'!F742</f>
        <v>40985.949999999997</v>
      </c>
      <c r="K936" s="386">
        <f t="shared" si="93"/>
        <v>52.71369225228932</v>
      </c>
      <c r="L936" s="491">
        <v>100</v>
      </c>
      <c r="M936" s="444"/>
    </row>
    <row r="937" spans="1:13" x14ac:dyDescent="0.25">
      <c r="A937" s="492"/>
      <c r="B937" s="381" t="s">
        <v>30</v>
      </c>
      <c r="C937" s="262"/>
      <c r="D937" s="262"/>
      <c r="E937" s="401">
        <v>10000</v>
      </c>
      <c r="F937" s="385">
        <v>9990.7000000000007</v>
      </c>
      <c r="G937" s="386">
        <f t="shared" si="94"/>
        <v>99.907000000000011</v>
      </c>
      <c r="H937" s="491">
        <v>100</v>
      </c>
      <c r="I937" s="401">
        <f>E937+'2017'!E750+'2018'!E743</f>
        <v>65000</v>
      </c>
      <c r="J937" s="401">
        <f>F937+'2017'!F750+'2018'!F743</f>
        <v>64211.430000000008</v>
      </c>
      <c r="K937" s="386">
        <f t="shared" si="93"/>
        <v>98.786815384615394</v>
      </c>
      <c r="L937" s="491">
        <v>100</v>
      </c>
      <c r="M937" s="444"/>
    </row>
    <row r="938" spans="1:13" x14ac:dyDescent="0.25">
      <c r="A938" s="492"/>
      <c r="B938" s="381" t="s">
        <v>31</v>
      </c>
      <c r="C938" s="262"/>
      <c r="D938" s="262"/>
      <c r="E938" s="401">
        <v>5000</v>
      </c>
      <c r="F938" s="385">
        <v>4999.0600000000004</v>
      </c>
      <c r="G938" s="386">
        <f t="shared" si="94"/>
        <v>99.981200000000001</v>
      </c>
      <c r="H938" s="491">
        <v>100</v>
      </c>
      <c r="I938" s="401">
        <f>E938+'2017'!E751+'2018'!E744</f>
        <v>29750</v>
      </c>
      <c r="J938" s="401">
        <f>F938+'2017'!F751+'2018'!F744</f>
        <v>27789.29</v>
      </c>
      <c r="K938" s="386">
        <f t="shared" si="93"/>
        <v>93.409378151260498</v>
      </c>
      <c r="L938" s="491">
        <v>100</v>
      </c>
      <c r="M938" s="444"/>
    </row>
    <row r="939" spans="1:13" x14ac:dyDescent="0.25">
      <c r="A939" s="492"/>
      <c r="B939" s="381" t="s">
        <v>32</v>
      </c>
      <c r="C939" s="262"/>
      <c r="D939" s="262"/>
      <c r="E939" s="401">
        <v>30000</v>
      </c>
      <c r="F939" s="385">
        <v>34806.33</v>
      </c>
      <c r="G939" s="386">
        <f t="shared" si="94"/>
        <v>116.0211</v>
      </c>
      <c r="H939" s="491">
        <v>100</v>
      </c>
      <c r="I939" s="401">
        <f>E939+'2017'!E752+'2018'!E745</f>
        <v>100900</v>
      </c>
      <c r="J939" s="401">
        <f>F939+'2017'!F752+'2018'!F745</f>
        <v>105512</v>
      </c>
      <c r="K939" s="386">
        <f t="shared" si="93"/>
        <v>104.57086223984142</v>
      </c>
      <c r="L939" s="491">
        <v>100</v>
      </c>
      <c r="M939" s="444"/>
    </row>
    <row r="940" spans="1:13" x14ac:dyDescent="0.25">
      <c r="A940" s="492"/>
      <c r="B940" s="381" t="s">
        <v>33</v>
      </c>
      <c r="C940" s="262"/>
      <c r="D940" s="262"/>
      <c r="E940" s="401">
        <v>66988</v>
      </c>
      <c r="F940" s="385">
        <v>66986.05</v>
      </c>
      <c r="G940" s="386">
        <f t="shared" si="94"/>
        <v>99.997089030871194</v>
      </c>
      <c r="H940" s="491">
        <v>100</v>
      </c>
      <c r="I940" s="401">
        <f>E940+'2017'!E753+'2018'!E746</f>
        <v>188204</v>
      </c>
      <c r="J940" s="401">
        <f>F940+'2017'!F753+'2018'!F746</f>
        <v>188194.41000000003</v>
      </c>
      <c r="K940" s="386">
        <f t="shared" si="93"/>
        <v>99.994904465367384</v>
      </c>
      <c r="L940" s="491">
        <v>100</v>
      </c>
      <c r="M940" s="444"/>
    </row>
    <row r="941" spans="1:13" x14ac:dyDescent="0.25">
      <c r="A941" s="492"/>
      <c r="B941" s="381" t="s">
        <v>34</v>
      </c>
      <c r="C941" s="262"/>
      <c r="D941" s="262"/>
      <c r="E941" s="401">
        <v>95000</v>
      </c>
      <c r="F941" s="385">
        <v>93681.65</v>
      </c>
      <c r="G941" s="386">
        <f t="shared" si="94"/>
        <v>98.612263157894731</v>
      </c>
      <c r="H941" s="261">
        <v>100</v>
      </c>
      <c r="I941" s="401">
        <f>E941+'2017'!E754+'2018'!E747</f>
        <v>322994.59999999998</v>
      </c>
      <c r="J941" s="401">
        <f>F941+'2017'!F754+'2018'!F747</f>
        <v>307170.21999999997</v>
      </c>
      <c r="K941" s="386">
        <f t="shared" si="93"/>
        <v>95.100729238197786</v>
      </c>
      <c r="L941" s="261">
        <v>100</v>
      </c>
      <c r="M941" s="444"/>
    </row>
    <row r="942" spans="1:13" ht="30" x14ac:dyDescent="0.25">
      <c r="A942" s="492" t="s">
        <v>673</v>
      </c>
      <c r="B942" s="384" t="s">
        <v>321</v>
      </c>
      <c r="C942" s="262" t="s">
        <v>600</v>
      </c>
      <c r="D942" s="262" t="s">
        <v>280</v>
      </c>
      <c r="E942" s="401">
        <f>E943</f>
        <v>1820</v>
      </c>
      <c r="F942" s="401">
        <f>F943</f>
        <v>1689.95</v>
      </c>
      <c r="G942" s="386">
        <f t="shared" si="94"/>
        <v>92.854395604395606</v>
      </c>
      <c r="H942" s="261">
        <v>100</v>
      </c>
      <c r="I942" s="401">
        <f>I943</f>
        <v>4740</v>
      </c>
      <c r="J942" s="401">
        <f>J943</f>
        <v>3364.5899999999997</v>
      </c>
      <c r="K942" s="386">
        <f t="shared" si="93"/>
        <v>70.982911392405057</v>
      </c>
      <c r="L942" s="261"/>
      <c r="M942" s="444"/>
    </row>
    <row r="943" spans="1:13" s="155" customFormat="1" x14ac:dyDescent="0.25">
      <c r="A943" s="492"/>
      <c r="B943" s="387" t="s">
        <v>27</v>
      </c>
      <c r="C943" s="388"/>
      <c r="D943" s="388"/>
      <c r="E943" s="404">
        <f>E944+E945</f>
        <v>1820</v>
      </c>
      <c r="F943" s="404">
        <f>F944+F945</f>
        <v>1689.95</v>
      </c>
      <c r="G943" s="390">
        <f t="shared" si="94"/>
        <v>92.854395604395606</v>
      </c>
      <c r="H943" s="391"/>
      <c r="I943" s="404">
        <f>I944+I945</f>
        <v>4740</v>
      </c>
      <c r="J943" s="404">
        <f>J944+J945</f>
        <v>3364.5899999999997</v>
      </c>
      <c r="K943" s="390">
        <f t="shared" ref="K943:K966" si="95">J943/I943*100</f>
        <v>70.982911392405057</v>
      </c>
      <c r="L943" s="391"/>
      <c r="M943" s="447"/>
    </row>
    <row r="944" spans="1:13" x14ac:dyDescent="0.25">
      <c r="A944" s="492"/>
      <c r="B944" s="381" t="s">
        <v>28</v>
      </c>
      <c r="C944" s="262"/>
      <c r="D944" s="262"/>
      <c r="E944" s="401">
        <v>1400</v>
      </c>
      <c r="F944" s="385">
        <v>1270</v>
      </c>
      <c r="G944" s="386">
        <f t="shared" si="94"/>
        <v>90.714285714285708</v>
      </c>
      <c r="H944" s="261">
        <v>100</v>
      </c>
      <c r="I944" s="401">
        <f>E944+'2017'!E757+'2018'!E750</f>
        <v>3900</v>
      </c>
      <c r="J944" s="401">
        <f>F944+'2017'!F757+'2018'!F750</f>
        <v>2944.64</v>
      </c>
      <c r="K944" s="386">
        <f t="shared" si="95"/>
        <v>75.503589743589743</v>
      </c>
      <c r="L944" s="261">
        <v>100</v>
      </c>
      <c r="M944" s="444"/>
    </row>
    <row r="945" spans="1:13" ht="21" customHeight="1" x14ac:dyDescent="0.25">
      <c r="A945" s="492"/>
      <c r="B945" s="381" t="s">
        <v>31</v>
      </c>
      <c r="C945" s="262"/>
      <c r="D945" s="262"/>
      <c r="E945" s="401">
        <v>420</v>
      </c>
      <c r="F945" s="385">
        <v>419.95</v>
      </c>
      <c r="G945" s="386">
        <f t="shared" si="94"/>
        <v>99.988095238095227</v>
      </c>
      <c r="H945" s="491">
        <v>100</v>
      </c>
      <c r="I945" s="401">
        <f>E945+'2018'!E751</f>
        <v>840</v>
      </c>
      <c r="J945" s="401">
        <f>F945+'2018'!F751</f>
        <v>419.95</v>
      </c>
      <c r="K945" s="386">
        <f t="shared" si="95"/>
        <v>49.994047619047613</v>
      </c>
      <c r="L945" s="261">
        <v>80</v>
      </c>
      <c r="M945" s="444"/>
    </row>
    <row r="946" spans="1:13" ht="30" x14ac:dyDescent="0.25">
      <c r="A946" s="492" t="s">
        <v>678</v>
      </c>
      <c r="B946" s="384" t="s">
        <v>571</v>
      </c>
      <c r="C946" s="469" t="s">
        <v>210</v>
      </c>
      <c r="D946" s="469">
        <v>2017</v>
      </c>
      <c r="E946" s="401"/>
      <c r="F946" s="385"/>
      <c r="G946" s="386"/>
      <c r="H946" s="470"/>
      <c r="I946" s="401">
        <f>I947</f>
        <v>97376.05</v>
      </c>
      <c r="J946" s="401">
        <f>J947</f>
        <v>63386.2</v>
      </c>
      <c r="K946" s="386">
        <f t="shared" si="95"/>
        <v>65.09424031884636</v>
      </c>
      <c r="L946" s="470"/>
      <c r="M946" s="444"/>
    </row>
    <row r="947" spans="1:13" x14ac:dyDescent="0.25">
      <c r="A947" s="492"/>
      <c r="B947" s="387" t="s">
        <v>27</v>
      </c>
      <c r="C947" s="469"/>
      <c r="D947" s="469"/>
      <c r="E947" s="401"/>
      <c r="F947" s="385"/>
      <c r="G947" s="386"/>
      <c r="H947" s="470"/>
      <c r="I947" s="404">
        <f>I948</f>
        <v>97376.05</v>
      </c>
      <c r="J947" s="404">
        <f>J948</f>
        <v>63386.2</v>
      </c>
      <c r="K947" s="390">
        <f t="shared" si="95"/>
        <v>65.09424031884636</v>
      </c>
      <c r="L947" s="470"/>
      <c r="M947" s="444"/>
    </row>
    <row r="948" spans="1:13" x14ac:dyDescent="0.25">
      <c r="A948" s="492"/>
      <c r="B948" s="381" t="s">
        <v>34</v>
      </c>
      <c r="C948" s="469"/>
      <c r="D948" s="469"/>
      <c r="E948" s="401"/>
      <c r="F948" s="385"/>
      <c r="G948" s="386"/>
      <c r="H948" s="470"/>
      <c r="I948" s="401">
        <f>'2017'!E760</f>
        <v>97376.05</v>
      </c>
      <c r="J948" s="401">
        <f>'2017'!F760</f>
        <v>63386.2</v>
      </c>
      <c r="K948" s="386">
        <f t="shared" si="95"/>
        <v>65.09424031884636</v>
      </c>
      <c r="L948" s="470"/>
      <c r="M948" s="444"/>
    </row>
    <row r="949" spans="1:13" ht="75" x14ac:dyDescent="0.25">
      <c r="A949" s="492" t="s">
        <v>679</v>
      </c>
      <c r="B949" s="384" t="s">
        <v>515</v>
      </c>
      <c r="C949" s="262" t="s">
        <v>26</v>
      </c>
      <c r="D949" s="262"/>
      <c r="E949" s="401">
        <f>E950</f>
        <v>347829</v>
      </c>
      <c r="F949" s="401">
        <f>F950</f>
        <v>941717.54</v>
      </c>
      <c r="G949" s="386">
        <f t="shared" si="94"/>
        <v>270.7415252897257</v>
      </c>
      <c r="H949" s="261">
        <v>100</v>
      </c>
      <c r="I949" s="401">
        <f>I950</f>
        <v>385729</v>
      </c>
      <c r="J949" s="401">
        <f>J950</f>
        <v>998205.61199999996</v>
      </c>
      <c r="K949" s="386">
        <f t="shared" si="95"/>
        <v>258.78417541849331</v>
      </c>
      <c r="L949" s="261"/>
      <c r="M949" s="444"/>
    </row>
    <row r="950" spans="1:13" x14ac:dyDescent="0.25">
      <c r="A950" s="492"/>
      <c r="B950" s="387" t="s">
        <v>27</v>
      </c>
      <c r="C950" s="262"/>
      <c r="D950" s="262"/>
      <c r="E950" s="404">
        <f>E951+E952</f>
        <v>347829</v>
      </c>
      <c r="F950" s="404">
        <f>F951+F952</f>
        <v>941717.54</v>
      </c>
      <c r="G950" s="390">
        <f t="shared" si="94"/>
        <v>270.7415252897257</v>
      </c>
      <c r="H950" s="261"/>
      <c r="I950" s="404">
        <f>I951+I952</f>
        <v>385729</v>
      </c>
      <c r="J950" s="404">
        <f>J951+J952</f>
        <v>998205.61199999996</v>
      </c>
      <c r="K950" s="390">
        <f t="shared" si="95"/>
        <v>258.78417541849331</v>
      </c>
      <c r="L950" s="261"/>
      <c r="M950" s="444"/>
    </row>
    <row r="951" spans="1:13" x14ac:dyDescent="0.25">
      <c r="A951" s="492"/>
      <c r="B951" s="381" t="s">
        <v>31</v>
      </c>
      <c r="C951" s="262"/>
      <c r="D951" s="262"/>
      <c r="E951" s="401">
        <v>34829</v>
      </c>
      <c r="F951" s="385">
        <v>41988.29</v>
      </c>
      <c r="G951" s="386">
        <f t="shared" si="94"/>
        <v>120.55554279479743</v>
      </c>
      <c r="H951" s="491">
        <v>100</v>
      </c>
      <c r="I951" s="401">
        <f>E951+'2018'!E754</f>
        <v>34829</v>
      </c>
      <c r="J951" s="401">
        <f>F951+'2018'!F754</f>
        <v>60579.212</v>
      </c>
      <c r="K951" s="386">
        <f t="shared" si="95"/>
        <v>173.93325102644349</v>
      </c>
      <c r="L951" s="491">
        <v>100</v>
      </c>
      <c r="M951" s="444"/>
    </row>
    <row r="952" spans="1:13" x14ac:dyDescent="0.25">
      <c r="A952" s="492"/>
      <c r="B952" s="381" t="s">
        <v>34</v>
      </c>
      <c r="C952" s="262"/>
      <c r="D952" s="262"/>
      <c r="E952" s="401">
        <v>313000</v>
      </c>
      <c r="F952" s="385">
        <v>899729.25</v>
      </c>
      <c r="G952" s="386">
        <f t="shared" si="94"/>
        <v>287.45343450479231</v>
      </c>
      <c r="H952" s="261">
        <v>100</v>
      </c>
      <c r="I952" s="401">
        <f>E952+'2018'!E755</f>
        <v>350900</v>
      </c>
      <c r="J952" s="401">
        <f>F952+'2018'!F755</f>
        <v>937626.4</v>
      </c>
      <c r="K952" s="386">
        <f t="shared" si="95"/>
        <v>267.20615559988602</v>
      </c>
      <c r="L952" s="261">
        <v>100</v>
      </c>
      <c r="M952" s="444"/>
    </row>
    <row r="953" spans="1:13" ht="45" x14ac:dyDescent="0.25">
      <c r="A953" s="492" t="s">
        <v>680</v>
      </c>
      <c r="B953" s="384" t="s">
        <v>322</v>
      </c>
      <c r="C953" s="262" t="s">
        <v>317</v>
      </c>
      <c r="D953" s="262" t="s">
        <v>280</v>
      </c>
      <c r="E953" s="401">
        <f>E954</f>
        <v>858973.36</v>
      </c>
      <c r="F953" s="401">
        <f>F954</f>
        <v>847870.86999999988</v>
      </c>
      <c r="G953" s="386">
        <f t="shared" si="94"/>
        <v>98.707469810239502</v>
      </c>
      <c r="H953" s="261">
        <v>100</v>
      </c>
      <c r="I953" s="401">
        <f>I954</f>
        <v>2276828.86</v>
      </c>
      <c r="J953" s="401">
        <f>J954</f>
        <v>2269092.0100000007</v>
      </c>
      <c r="K953" s="386">
        <f t="shared" si="95"/>
        <v>99.66019185122245</v>
      </c>
      <c r="L953" s="261"/>
      <c r="M953" s="444"/>
    </row>
    <row r="954" spans="1:13" s="155" customFormat="1" x14ac:dyDescent="0.25">
      <c r="A954" s="492"/>
      <c r="B954" s="387" t="s">
        <v>27</v>
      </c>
      <c r="C954" s="388"/>
      <c r="D954" s="388"/>
      <c r="E954" s="404">
        <f>E955+E956+E957+E958+E959+E960</f>
        <v>858973.36</v>
      </c>
      <c r="F954" s="404">
        <f>F955+F956+F957+F958+F959+F960</f>
        <v>847870.86999999988</v>
      </c>
      <c r="G954" s="390">
        <f t="shared" si="94"/>
        <v>98.707469810239502</v>
      </c>
      <c r="H954" s="391"/>
      <c r="I954" s="404">
        <f>I955+I956+I957+I958+I959+I960</f>
        <v>2276828.86</v>
      </c>
      <c r="J954" s="404">
        <f>J955+J956+J957+J958+J959+J960</f>
        <v>2269092.0100000007</v>
      </c>
      <c r="K954" s="390">
        <f t="shared" si="95"/>
        <v>99.66019185122245</v>
      </c>
      <c r="L954" s="391"/>
      <c r="M954" s="447"/>
    </row>
    <row r="955" spans="1:13" x14ac:dyDescent="0.25">
      <c r="A955" s="492"/>
      <c r="B955" s="381" t="s">
        <v>28</v>
      </c>
      <c r="C955" s="262"/>
      <c r="D955" s="262"/>
      <c r="E955" s="401">
        <v>298250</v>
      </c>
      <c r="F955" s="385">
        <v>299360</v>
      </c>
      <c r="G955" s="386">
        <f t="shared" si="94"/>
        <v>100.37217099748533</v>
      </c>
      <c r="H955" s="261">
        <v>100</v>
      </c>
      <c r="I955" s="401">
        <f>E955+'2017'!E763+'2018'!E758</f>
        <v>784922</v>
      </c>
      <c r="J955" s="401">
        <f>F955+'2017'!F763+'2018'!F758</f>
        <v>803455.4</v>
      </c>
      <c r="K955" s="386">
        <f t="shared" si="95"/>
        <v>102.36117728895356</v>
      </c>
      <c r="L955" s="261">
        <v>100</v>
      </c>
      <c r="M955" s="444"/>
    </row>
    <row r="956" spans="1:13" x14ac:dyDescent="0.25">
      <c r="A956" s="492"/>
      <c r="B956" s="381" t="s">
        <v>29</v>
      </c>
      <c r="C956" s="262"/>
      <c r="D956" s="262"/>
      <c r="E956" s="401">
        <v>212479.2</v>
      </c>
      <c r="F956" s="385">
        <v>203736.39</v>
      </c>
      <c r="G956" s="386">
        <f t="shared" si="94"/>
        <v>95.885333717370926</v>
      </c>
      <c r="H956" s="491">
        <v>100</v>
      </c>
      <c r="I956" s="401">
        <f>E956+'2017'!E764+'2018'!E759</f>
        <v>575854.19999999995</v>
      </c>
      <c r="J956" s="401">
        <f>F956+'2017'!F764+'2018'!F759</f>
        <v>551458.82000000007</v>
      </c>
      <c r="K956" s="386">
        <f t="shared" si="95"/>
        <v>95.763618638190025</v>
      </c>
      <c r="L956" s="491">
        <v>100</v>
      </c>
      <c r="M956" s="444"/>
    </row>
    <row r="957" spans="1:13" x14ac:dyDescent="0.25">
      <c r="A957" s="492"/>
      <c r="B957" s="381" t="s">
        <v>30</v>
      </c>
      <c r="C957" s="262"/>
      <c r="D957" s="262"/>
      <c r="E957" s="401">
        <v>77503</v>
      </c>
      <c r="F957" s="385">
        <v>77829.070000000007</v>
      </c>
      <c r="G957" s="386">
        <f t="shared" si="94"/>
        <v>100.42071919796653</v>
      </c>
      <c r="H957" s="491">
        <v>100</v>
      </c>
      <c r="I957" s="401">
        <f>E957+'2017'!E765+'2018'!E760</f>
        <v>214374</v>
      </c>
      <c r="J957" s="401">
        <f>F957+'2017'!F765+'2018'!F760</f>
        <v>221515.87</v>
      </c>
      <c r="K957" s="386">
        <f t="shared" si="95"/>
        <v>103.33150008863015</v>
      </c>
      <c r="L957" s="491">
        <v>100</v>
      </c>
      <c r="M957" s="444"/>
    </row>
    <row r="958" spans="1:13" x14ac:dyDescent="0.25">
      <c r="A958" s="492"/>
      <c r="B958" s="381" t="s">
        <v>31</v>
      </c>
      <c r="C958" s="262"/>
      <c r="D958" s="262"/>
      <c r="E958" s="401">
        <v>175002.16</v>
      </c>
      <c r="F958" s="385">
        <v>167364.62</v>
      </c>
      <c r="G958" s="386">
        <f t="shared" si="94"/>
        <v>95.635745295943778</v>
      </c>
      <c r="H958" s="491">
        <v>100</v>
      </c>
      <c r="I958" s="401">
        <f>E958+'2017'!E766+'2018'!E761</f>
        <v>459032.16000000003</v>
      </c>
      <c r="J958" s="401">
        <f>F958+'2017'!F766+'2018'!F761</f>
        <v>437891.59</v>
      </c>
      <c r="K958" s="386">
        <f t="shared" si="95"/>
        <v>95.394534012606002</v>
      </c>
      <c r="L958" s="491">
        <v>100</v>
      </c>
      <c r="M958" s="444"/>
    </row>
    <row r="959" spans="1:13" x14ac:dyDescent="0.25">
      <c r="A959" s="492"/>
      <c r="B959" s="381" t="s">
        <v>32</v>
      </c>
      <c r="C959" s="262"/>
      <c r="D959" s="262"/>
      <c r="E959" s="401">
        <v>70761</v>
      </c>
      <c r="F959" s="385">
        <v>74650.710000000006</v>
      </c>
      <c r="G959" s="386">
        <f t="shared" si="94"/>
        <v>105.49696866918219</v>
      </c>
      <c r="H959" s="491">
        <v>100</v>
      </c>
      <c r="I959" s="401">
        <f>E959+'2017'!E767+'2018'!E762</f>
        <v>183432.5</v>
      </c>
      <c r="J959" s="401">
        <f>F959+'2017'!F767+'2018'!F762</f>
        <v>197851.44</v>
      </c>
      <c r="K959" s="386">
        <f t="shared" si="95"/>
        <v>107.8606244803947</v>
      </c>
      <c r="L959" s="491">
        <v>100</v>
      </c>
      <c r="M959" s="444"/>
    </row>
    <row r="960" spans="1:13" ht="20.25" customHeight="1" x14ac:dyDescent="0.25">
      <c r="A960" s="492"/>
      <c r="B960" s="381" t="s">
        <v>33</v>
      </c>
      <c r="C960" s="262"/>
      <c r="D960" s="262"/>
      <c r="E960" s="401">
        <v>24978</v>
      </c>
      <c r="F960" s="401">
        <v>24930.080000000002</v>
      </c>
      <c r="G960" s="386">
        <f t="shared" si="94"/>
        <v>99.808151173032272</v>
      </c>
      <c r="H960" s="491">
        <v>100</v>
      </c>
      <c r="I960" s="401">
        <f>E960+'2017'!E768+'2018'!E763</f>
        <v>59214</v>
      </c>
      <c r="J960" s="401">
        <f>F960+'2017'!F768+'2018'!F763</f>
        <v>56918.89</v>
      </c>
      <c r="K960" s="386">
        <f t="shared" si="95"/>
        <v>96.124041611780996</v>
      </c>
      <c r="L960" s="491">
        <v>100</v>
      </c>
      <c r="M960" s="444"/>
    </row>
    <row r="961" spans="1:13" x14ac:dyDescent="0.25">
      <c r="A961" s="492" t="s">
        <v>681</v>
      </c>
      <c r="B961" s="384" t="s">
        <v>601</v>
      </c>
      <c r="C961" s="469" t="s">
        <v>317</v>
      </c>
      <c r="D961" s="469">
        <v>2019</v>
      </c>
      <c r="E961" s="401">
        <f>E962</f>
        <v>3321</v>
      </c>
      <c r="F961" s="401">
        <f>F962</f>
        <v>3320.63</v>
      </c>
      <c r="G961" s="386">
        <f t="shared" si="94"/>
        <v>99.988858777476665</v>
      </c>
      <c r="H961" s="470"/>
      <c r="I961" s="401">
        <f>I962</f>
        <v>3321</v>
      </c>
      <c r="J961" s="401">
        <f>J962</f>
        <v>3320.63</v>
      </c>
      <c r="K961" s="386">
        <f t="shared" si="95"/>
        <v>99.988858777476665</v>
      </c>
      <c r="L961" s="470"/>
      <c r="M961" s="444"/>
    </row>
    <row r="962" spans="1:13" x14ac:dyDescent="0.25">
      <c r="A962" s="492"/>
      <c r="B962" s="387" t="s">
        <v>27</v>
      </c>
      <c r="C962" s="469"/>
      <c r="D962" s="469"/>
      <c r="E962" s="404">
        <f>E963</f>
        <v>3321</v>
      </c>
      <c r="F962" s="404">
        <f>F963</f>
        <v>3320.63</v>
      </c>
      <c r="G962" s="390">
        <f t="shared" si="94"/>
        <v>99.988858777476665</v>
      </c>
      <c r="H962" s="470"/>
      <c r="I962" s="404">
        <f>I963</f>
        <v>3321</v>
      </c>
      <c r="J962" s="404">
        <f>J963</f>
        <v>3320.63</v>
      </c>
      <c r="K962" s="390">
        <f t="shared" si="95"/>
        <v>99.988858777476665</v>
      </c>
      <c r="L962" s="470"/>
      <c r="M962" s="444"/>
    </row>
    <row r="963" spans="1:13" x14ac:dyDescent="0.25">
      <c r="A963" s="492"/>
      <c r="B963" s="381" t="s">
        <v>32</v>
      </c>
      <c r="C963" s="469"/>
      <c r="D963" s="469"/>
      <c r="E963" s="401">
        <v>3321</v>
      </c>
      <c r="F963" s="401">
        <v>3320.63</v>
      </c>
      <c r="G963" s="386">
        <f t="shared" si="94"/>
        <v>99.988858777476665</v>
      </c>
      <c r="H963" s="470"/>
      <c r="I963" s="401">
        <f>E963</f>
        <v>3321</v>
      </c>
      <c r="J963" s="401">
        <f>F963</f>
        <v>3320.63</v>
      </c>
      <c r="K963" s="386">
        <f t="shared" si="95"/>
        <v>99.988858777476665</v>
      </c>
      <c r="L963" s="470"/>
      <c r="M963" s="444"/>
    </row>
    <row r="964" spans="1:13" x14ac:dyDescent="0.25">
      <c r="A964" s="492"/>
      <c r="B964" s="394" t="s">
        <v>323</v>
      </c>
      <c r="C964" s="262"/>
      <c r="D964" s="262"/>
      <c r="E964" s="406">
        <f>E965+E966</f>
        <v>19427995.589999996</v>
      </c>
      <c r="F964" s="406">
        <f>F965+F966</f>
        <v>20716707.609999999</v>
      </c>
      <c r="G964" s="396">
        <f t="shared" si="94"/>
        <v>106.63327317545478</v>
      </c>
      <c r="H964" s="261"/>
      <c r="I964" s="406">
        <f>I965+I966</f>
        <v>59290023.490000002</v>
      </c>
      <c r="J964" s="406">
        <f>J965+J966</f>
        <v>61593269.062000006</v>
      </c>
      <c r="K964" s="386">
        <f t="shared" si="95"/>
        <v>103.88471016947476</v>
      </c>
      <c r="L964" s="261"/>
      <c r="M964" s="444"/>
    </row>
    <row r="965" spans="1:13" s="155" customFormat="1" x14ac:dyDescent="0.25">
      <c r="A965" s="492"/>
      <c r="B965" s="387" t="s">
        <v>13</v>
      </c>
      <c r="C965" s="388"/>
      <c r="D965" s="388"/>
      <c r="E965" s="404">
        <f>E860+E862+E864+E866</f>
        <v>4067028</v>
      </c>
      <c r="F965" s="404">
        <f>F860+F862+F864+F866</f>
        <v>4030336.11</v>
      </c>
      <c r="G965" s="390">
        <f t="shared" si="94"/>
        <v>99.097820570696825</v>
      </c>
      <c r="H965" s="391"/>
      <c r="I965" s="404">
        <f>I860+I862+I864+I866</f>
        <v>11810429</v>
      </c>
      <c r="J965" s="404">
        <f>J860+J862+J864+J866</f>
        <v>11253340.550000001</v>
      </c>
      <c r="K965" s="390">
        <f t="shared" si="95"/>
        <v>95.283080318250938</v>
      </c>
      <c r="L965" s="391"/>
      <c r="M965" s="447"/>
    </row>
    <row r="966" spans="1:13" s="155" customFormat="1" x14ac:dyDescent="0.25">
      <c r="A966" s="492"/>
      <c r="B966" s="387" t="s">
        <v>22</v>
      </c>
      <c r="C966" s="388"/>
      <c r="D966" s="388"/>
      <c r="E966" s="404">
        <f>E877+E886+E895+E904+E911+E915+E918+E925+E934+E943+E947+E950+E954+E962</f>
        <v>15360967.589999998</v>
      </c>
      <c r="F966" s="404">
        <f>F877+F886+F895+F904+F911+F915+F918+F925+F934+F943+F947+F950+F954+F962</f>
        <v>16686371.5</v>
      </c>
      <c r="G966" s="390">
        <f t="shared" si="94"/>
        <v>108.62838816783157</v>
      </c>
      <c r="H966" s="391"/>
      <c r="I966" s="404">
        <f>I877+I886+I895+I904+I911+I915+I918+I925+I934+I943+I947+I950+I954+I962</f>
        <v>47479594.490000002</v>
      </c>
      <c r="J966" s="404">
        <f>J877+J886+J895+J904+J911+J915+J918+J925+J934+J943+J947+J950+J954+J962</f>
        <v>50339928.512000002</v>
      </c>
      <c r="K966" s="386">
        <f t="shared" si="95"/>
        <v>106.02434383175374</v>
      </c>
      <c r="L966" s="391"/>
      <c r="M966" s="447"/>
    </row>
    <row r="967" spans="1:13" s="155" customFormat="1" x14ac:dyDescent="0.25">
      <c r="A967" s="492"/>
      <c r="B967" s="387"/>
      <c r="C967" s="388"/>
      <c r="D967" s="388"/>
      <c r="E967" s="404"/>
      <c r="F967" s="404"/>
      <c r="G967" s="390"/>
      <c r="H967" s="391"/>
      <c r="I967" s="391"/>
      <c r="J967" s="391"/>
      <c r="K967" s="391"/>
      <c r="L967" s="391"/>
      <c r="M967" s="447"/>
    </row>
    <row r="968" spans="1:13" s="155" customFormat="1" x14ac:dyDescent="0.25">
      <c r="A968" s="561" t="s">
        <v>602</v>
      </c>
      <c r="B968" s="562"/>
      <c r="C968" s="562"/>
      <c r="D968" s="562"/>
      <c r="E968" s="562"/>
      <c r="F968" s="562"/>
      <c r="G968" s="562"/>
      <c r="H968" s="562"/>
      <c r="I968" s="562"/>
      <c r="J968" s="562"/>
      <c r="K968" s="562"/>
      <c r="L968" s="562"/>
      <c r="M968" s="563"/>
    </row>
    <row r="969" spans="1:13" s="155" customFormat="1" ht="60" x14ac:dyDescent="0.25">
      <c r="A969" s="492">
        <v>275</v>
      </c>
      <c r="B969" s="384" t="s">
        <v>603</v>
      </c>
      <c r="C969" s="474" t="s">
        <v>608</v>
      </c>
      <c r="D969" s="474">
        <v>2019</v>
      </c>
      <c r="E969" s="401">
        <f>E970</f>
        <v>23179.57</v>
      </c>
      <c r="F969" s="401">
        <f>F970</f>
        <v>23152.05</v>
      </c>
      <c r="G969" s="386">
        <f t="shared" ref="G969:G984" si="96">F969/E969*100</f>
        <v>99.881274760489518</v>
      </c>
      <c r="H969" s="483">
        <v>100</v>
      </c>
      <c r="I969" s="401">
        <f>I970</f>
        <v>23179.57</v>
      </c>
      <c r="J969" s="401">
        <f>J970</f>
        <v>23152.05</v>
      </c>
      <c r="K969" s="386">
        <f t="shared" ref="K969:K984" si="97">J969/I969*100</f>
        <v>99.881274760489518</v>
      </c>
      <c r="L969" s="483">
        <v>100</v>
      </c>
      <c r="M969" s="447"/>
    </row>
    <row r="970" spans="1:13" s="155" customFormat="1" ht="48.75" customHeight="1" x14ac:dyDescent="0.25">
      <c r="A970" s="492"/>
      <c r="B970" s="387" t="s">
        <v>611</v>
      </c>
      <c r="C970" s="388"/>
      <c r="D970" s="388"/>
      <c r="E970" s="404">
        <v>23179.57</v>
      </c>
      <c r="F970" s="404">
        <v>23152.05</v>
      </c>
      <c r="G970" s="390">
        <f t="shared" si="96"/>
        <v>99.881274760489518</v>
      </c>
      <c r="H970" s="391"/>
      <c r="I970" s="404">
        <f>E970</f>
        <v>23179.57</v>
      </c>
      <c r="J970" s="404">
        <f>F970</f>
        <v>23152.05</v>
      </c>
      <c r="K970" s="390">
        <f t="shared" si="97"/>
        <v>99.881274760489518</v>
      </c>
      <c r="L970" s="391"/>
      <c r="M970" s="447"/>
    </row>
    <row r="971" spans="1:13" s="155" customFormat="1" ht="60" x14ac:dyDescent="0.25">
      <c r="A971" s="492">
        <v>276</v>
      </c>
      <c r="B971" s="384" t="s">
        <v>604</v>
      </c>
      <c r="C971" s="474" t="s">
        <v>608</v>
      </c>
      <c r="D971" s="474" t="s">
        <v>610</v>
      </c>
      <c r="E971" s="401">
        <f>E972</f>
        <v>3233128.33</v>
      </c>
      <c r="F971" s="401">
        <f>F972</f>
        <v>3160448.0500000003</v>
      </c>
      <c r="G971" s="386">
        <f t="shared" si="96"/>
        <v>97.752013759379608</v>
      </c>
      <c r="H971" s="483">
        <v>100</v>
      </c>
      <c r="I971" s="401">
        <f>I972</f>
        <v>3233128.33</v>
      </c>
      <c r="J971" s="401">
        <f>J972</f>
        <v>3160448.0500000003</v>
      </c>
      <c r="K971" s="386">
        <f t="shared" si="97"/>
        <v>97.752013759379608</v>
      </c>
      <c r="L971" s="483">
        <v>100</v>
      </c>
      <c r="M971" s="447"/>
    </row>
    <row r="972" spans="1:13" s="155" customFormat="1" ht="46.5" customHeight="1" x14ac:dyDescent="0.25">
      <c r="A972" s="492"/>
      <c r="B972" s="387" t="s">
        <v>611</v>
      </c>
      <c r="C972" s="388"/>
      <c r="D972" s="388"/>
      <c r="E972" s="404">
        <f>E974+E975</f>
        <v>3233128.33</v>
      </c>
      <c r="F972" s="404">
        <f>F974+F975</f>
        <v>3160448.0500000003</v>
      </c>
      <c r="G972" s="390">
        <f t="shared" si="96"/>
        <v>97.752013759379608</v>
      </c>
      <c r="H972" s="391"/>
      <c r="I972" s="404">
        <f>I974+I975</f>
        <v>3233128.33</v>
      </c>
      <c r="J972" s="404">
        <f>J974+J975</f>
        <v>3160448.0500000003</v>
      </c>
      <c r="K972" s="390">
        <f t="shared" si="97"/>
        <v>97.752013759379608</v>
      </c>
      <c r="L972" s="391"/>
      <c r="M972" s="447"/>
    </row>
    <row r="973" spans="1:13" s="155" customFormat="1" ht="15" customHeight="1" x14ac:dyDescent="0.25">
      <c r="A973" s="492"/>
      <c r="B973" s="387" t="s">
        <v>155</v>
      </c>
      <c r="C973" s="388"/>
      <c r="D973" s="388"/>
      <c r="E973" s="404"/>
      <c r="F973" s="404"/>
      <c r="G973" s="390"/>
      <c r="H973" s="391"/>
      <c r="I973" s="404"/>
      <c r="J973" s="404"/>
      <c r="K973" s="390"/>
      <c r="L973" s="391"/>
      <c r="M973" s="447"/>
    </row>
    <row r="974" spans="1:13" s="155" customFormat="1" ht="48.75" customHeight="1" x14ac:dyDescent="0.25">
      <c r="A974" s="492"/>
      <c r="B974" s="387" t="s">
        <v>611</v>
      </c>
      <c r="C974" s="388"/>
      <c r="D974" s="388"/>
      <c r="E974" s="404">
        <v>36820.43</v>
      </c>
      <c r="F974" s="404">
        <v>36820.43</v>
      </c>
      <c r="G974" s="390">
        <f t="shared" si="96"/>
        <v>100</v>
      </c>
      <c r="H974" s="391"/>
      <c r="I974" s="404">
        <f>E974</f>
        <v>36820.43</v>
      </c>
      <c r="J974" s="404">
        <f>F974</f>
        <v>36820.43</v>
      </c>
      <c r="K974" s="390">
        <f t="shared" si="97"/>
        <v>100</v>
      </c>
      <c r="L974" s="391"/>
      <c r="M974" s="447"/>
    </row>
    <row r="975" spans="1:13" s="155" customFormat="1" ht="63" customHeight="1" x14ac:dyDescent="0.25">
      <c r="A975" s="492"/>
      <c r="B975" s="387" t="s">
        <v>612</v>
      </c>
      <c r="C975" s="388"/>
      <c r="D975" s="388"/>
      <c r="E975" s="404">
        <v>3196307.9</v>
      </c>
      <c r="F975" s="404">
        <v>3123627.62</v>
      </c>
      <c r="G975" s="390">
        <f t="shared" si="96"/>
        <v>97.726117687222811</v>
      </c>
      <c r="H975" s="391"/>
      <c r="I975" s="404">
        <f>E975</f>
        <v>3196307.9</v>
      </c>
      <c r="J975" s="404">
        <f>F975</f>
        <v>3123627.62</v>
      </c>
      <c r="K975" s="390">
        <f t="shared" si="97"/>
        <v>97.726117687222811</v>
      </c>
      <c r="L975" s="391"/>
      <c r="M975" s="447"/>
    </row>
    <row r="976" spans="1:13" s="155" customFormat="1" ht="60" x14ac:dyDescent="0.25">
      <c r="A976" s="492">
        <v>277</v>
      </c>
      <c r="B976" s="384" t="s">
        <v>605</v>
      </c>
      <c r="C976" s="474" t="s">
        <v>608</v>
      </c>
      <c r="D976" s="474" t="s">
        <v>610</v>
      </c>
      <c r="E976" s="401">
        <f>E977</f>
        <v>86000</v>
      </c>
      <c r="F976" s="401">
        <f>F977</f>
        <v>1626.54</v>
      </c>
      <c r="G976" s="386">
        <f t="shared" si="96"/>
        <v>1.8913255813953489</v>
      </c>
      <c r="H976" s="483">
        <v>100</v>
      </c>
      <c r="I976" s="401">
        <f>I977</f>
        <v>86000</v>
      </c>
      <c r="J976" s="401">
        <f>J977</f>
        <v>1626.54</v>
      </c>
      <c r="K976" s="386">
        <f t="shared" si="97"/>
        <v>1.8913255813953489</v>
      </c>
      <c r="L976" s="483">
        <v>100</v>
      </c>
      <c r="M976" s="384" t="s">
        <v>625</v>
      </c>
    </row>
    <row r="977" spans="1:13" s="155" customFormat="1" ht="65.25" customHeight="1" x14ac:dyDescent="0.25">
      <c r="A977" s="492"/>
      <c r="B977" s="387" t="s">
        <v>612</v>
      </c>
      <c r="C977" s="388"/>
      <c r="D977" s="388"/>
      <c r="E977" s="404">
        <v>86000</v>
      </c>
      <c r="F977" s="404">
        <v>1626.54</v>
      </c>
      <c r="G977" s="390">
        <f t="shared" si="96"/>
        <v>1.8913255813953489</v>
      </c>
      <c r="H977" s="391"/>
      <c r="I977" s="404">
        <f>E977</f>
        <v>86000</v>
      </c>
      <c r="J977" s="404">
        <f>F977</f>
        <v>1626.54</v>
      </c>
      <c r="K977" s="390">
        <f t="shared" si="97"/>
        <v>1.8913255813953489</v>
      </c>
      <c r="L977" s="391"/>
      <c r="M977" s="447"/>
    </row>
    <row r="978" spans="1:13" s="155" customFormat="1" ht="75" x14ac:dyDescent="0.25">
      <c r="A978" s="492">
        <v>278</v>
      </c>
      <c r="B978" s="384" t="s">
        <v>606</v>
      </c>
      <c r="C978" s="474" t="s">
        <v>609</v>
      </c>
      <c r="D978" s="474" t="s">
        <v>610</v>
      </c>
      <c r="E978" s="401">
        <f>E979</f>
        <v>1000000</v>
      </c>
      <c r="F978" s="401">
        <f>F979</f>
        <v>0</v>
      </c>
      <c r="G978" s="386">
        <f t="shared" si="96"/>
        <v>0</v>
      </c>
      <c r="H978" s="391"/>
      <c r="I978" s="401">
        <f>I979</f>
        <v>1000000</v>
      </c>
      <c r="J978" s="401">
        <f>J979</f>
        <v>0</v>
      </c>
      <c r="K978" s="386">
        <f t="shared" si="97"/>
        <v>0</v>
      </c>
      <c r="L978" s="391"/>
      <c r="M978" s="447"/>
    </row>
    <row r="979" spans="1:13" s="155" customFormat="1" ht="50.25" customHeight="1" x14ac:dyDescent="0.25">
      <c r="A979" s="492"/>
      <c r="B979" s="387" t="s">
        <v>611</v>
      </c>
      <c r="C979" s="388"/>
      <c r="D979" s="388"/>
      <c r="E979" s="404">
        <v>1000000</v>
      </c>
      <c r="F979" s="404"/>
      <c r="G979" s="390">
        <f t="shared" si="96"/>
        <v>0</v>
      </c>
      <c r="H979" s="391"/>
      <c r="I979" s="404">
        <f>E979</f>
        <v>1000000</v>
      </c>
      <c r="J979" s="404"/>
      <c r="K979" s="390">
        <f t="shared" si="97"/>
        <v>0</v>
      </c>
      <c r="L979" s="391"/>
      <c r="M979" s="447"/>
    </row>
    <row r="980" spans="1:13" s="155" customFormat="1" ht="105" x14ac:dyDescent="0.25">
      <c r="A980" s="492">
        <v>279</v>
      </c>
      <c r="B980" s="384" t="s">
        <v>607</v>
      </c>
      <c r="C980" s="474" t="s">
        <v>149</v>
      </c>
      <c r="D980" s="474" t="s">
        <v>610</v>
      </c>
      <c r="E980" s="401">
        <f>E981</f>
        <v>4465550.4000000004</v>
      </c>
      <c r="F980" s="401">
        <f>F981</f>
        <v>4465550.4000000004</v>
      </c>
      <c r="G980" s="386">
        <f t="shared" si="96"/>
        <v>100</v>
      </c>
      <c r="H980" s="513">
        <v>100</v>
      </c>
      <c r="I980" s="401">
        <f>I981</f>
        <v>4465550.4000000004</v>
      </c>
      <c r="J980" s="401">
        <f>J981</f>
        <v>4465550.4000000004</v>
      </c>
      <c r="K980" s="386">
        <f t="shared" si="97"/>
        <v>100</v>
      </c>
      <c r="L980" s="513">
        <v>100</v>
      </c>
      <c r="M980" s="447"/>
    </row>
    <row r="981" spans="1:13" s="155" customFormat="1" ht="46.5" customHeight="1" x14ac:dyDescent="0.25">
      <c r="A981" s="492"/>
      <c r="B981" s="387" t="s">
        <v>611</v>
      </c>
      <c r="C981" s="388"/>
      <c r="D981" s="388"/>
      <c r="E981" s="404">
        <v>4465550.4000000004</v>
      </c>
      <c r="F981" s="404">
        <v>4465550.4000000004</v>
      </c>
      <c r="G981" s="390">
        <f t="shared" si="96"/>
        <v>100</v>
      </c>
      <c r="H981" s="391"/>
      <c r="I981" s="404">
        <f>E981</f>
        <v>4465550.4000000004</v>
      </c>
      <c r="J981" s="404">
        <f>F981</f>
        <v>4465550.4000000004</v>
      </c>
      <c r="K981" s="390">
        <f t="shared" si="97"/>
        <v>100</v>
      </c>
      <c r="L981" s="391"/>
      <c r="M981" s="447"/>
    </row>
    <row r="982" spans="1:13" s="155" customFormat="1" ht="45" customHeight="1" x14ac:dyDescent="0.25">
      <c r="A982" s="492"/>
      <c r="B982" s="394" t="s">
        <v>613</v>
      </c>
      <c r="C982" s="388"/>
      <c r="D982" s="388"/>
      <c r="E982" s="406">
        <f>E983+E984</f>
        <v>8807858.3000000007</v>
      </c>
      <c r="F982" s="406">
        <f>F983+F984</f>
        <v>7650777.04</v>
      </c>
      <c r="G982" s="396">
        <f t="shared" si="96"/>
        <v>86.863080438067442</v>
      </c>
      <c r="H982" s="391"/>
      <c r="I982" s="406">
        <f>I983+I984</f>
        <v>8807858.3000000007</v>
      </c>
      <c r="J982" s="406">
        <f>J983+J984</f>
        <v>7650777.04</v>
      </c>
      <c r="K982" s="396">
        <f t="shared" si="97"/>
        <v>86.863080438067442</v>
      </c>
      <c r="L982" s="391"/>
      <c r="M982" s="447"/>
    </row>
    <row r="983" spans="1:13" s="155" customFormat="1" ht="45.75" customHeight="1" x14ac:dyDescent="0.25">
      <c r="A983" s="492"/>
      <c r="B983" s="387" t="s">
        <v>611</v>
      </c>
      <c r="C983" s="388"/>
      <c r="D983" s="388"/>
      <c r="E983" s="404">
        <f>E981+E979+E974+E970</f>
        <v>5525550.4000000004</v>
      </c>
      <c r="F983" s="404">
        <f>F981+F979+F974+F970</f>
        <v>4525522.88</v>
      </c>
      <c r="G983" s="390">
        <f t="shared" si="96"/>
        <v>81.901757334436752</v>
      </c>
      <c r="H983" s="391"/>
      <c r="I983" s="404">
        <f>E983</f>
        <v>5525550.4000000004</v>
      </c>
      <c r="J983" s="404">
        <f>F983</f>
        <v>4525522.88</v>
      </c>
      <c r="K983" s="390">
        <f t="shared" si="97"/>
        <v>81.901757334436752</v>
      </c>
      <c r="L983" s="391"/>
      <c r="M983" s="447"/>
    </row>
    <row r="984" spans="1:13" s="155" customFormat="1" ht="63" customHeight="1" x14ac:dyDescent="0.25">
      <c r="A984" s="492"/>
      <c r="B984" s="387" t="s">
        <v>612</v>
      </c>
      <c r="C984" s="388"/>
      <c r="D984" s="388"/>
      <c r="E984" s="404">
        <f>E977+E975</f>
        <v>3282307.9</v>
      </c>
      <c r="F984" s="404">
        <f>F977+F975</f>
        <v>3125254.16</v>
      </c>
      <c r="G984" s="390">
        <f t="shared" si="96"/>
        <v>95.215142979121495</v>
      </c>
      <c r="H984" s="391"/>
      <c r="I984" s="404">
        <f>E984</f>
        <v>3282307.9</v>
      </c>
      <c r="J984" s="404">
        <f>F984</f>
        <v>3125254.16</v>
      </c>
      <c r="K984" s="390">
        <f t="shared" si="97"/>
        <v>95.215142979121495</v>
      </c>
      <c r="L984" s="391"/>
      <c r="M984" s="447"/>
    </row>
    <row r="985" spans="1:13" s="155" customFormat="1" x14ac:dyDescent="0.25">
      <c r="A985" s="492"/>
      <c r="B985" s="387"/>
      <c r="C985" s="388"/>
      <c r="D985" s="388"/>
      <c r="E985" s="404"/>
      <c r="F985" s="404"/>
      <c r="G985" s="390"/>
      <c r="H985" s="391"/>
      <c r="I985" s="391"/>
      <c r="J985" s="391"/>
      <c r="K985" s="391"/>
      <c r="L985" s="391"/>
      <c r="M985" s="447"/>
    </row>
    <row r="986" spans="1:13" s="155" customFormat="1" x14ac:dyDescent="0.25">
      <c r="A986" s="561" t="s">
        <v>614</v>
      </c>
      <c r="B986" s="562"/>
      <c r="C986" s="562"/>
      <c r="D986" s="562"/>
      <c r="E986" s="562"/>
      <c r="F986" s="562"/>
      <c r="G986" s="562"/>
      <c r="H986" s="562"/>
      <c r="I986" s="562"/>
      <c r="J986" s="562"/>
      <c r="K986" s="562"/>
      <c r="L986" s="562"/>
      <c r="M986" s="563"/>
    </row>
    <row r="987" spans="1:13" s="155" customFormat="1" ht="75" x14ac:dyDescent="0.25">
      <c r="A987" s="492"/>
      <c r="B987" s="384" t="s">
        <v>40</v>
      </c>
      <c r="C987" s="474" t="s">
        <v>608</v>
      </c>
      <c r="D987" s="474">
        <v>2016</v>
      </c>
      <c r="E987" s="404"/>
      <c r="F987" s="404"/>
      <c r="G987" s="390"/>
      <c r="H987" s="391"/>
      <c r="I987" s="401">
        <f>I988</f>
        <v>3671882.7</v>
      </c>
      <c r="J987" s="401">
        <f>J988</f>
        <v>3131959.13</v>
      </c>
      <c r="K987" s="390">
        <f t="shared" ref="K987:K1017" si="98">J987/I987*100</f>
        <v>85.295729354317331</v>
      </c>
      <c r="L987" s="391"/>
      <c r="M987" s="447"/>
    </row>
    <row r="988" spans="1:13" s="155" customFormat="1" x14ac:dyDescent="0.25">
      <c r="A988" s="492"/>
      <c r="B988" s="387" t="s">
        <v>13</v>
      </c>
      <c r="C988" s="388"/>
      <c r="D988" s="388"/>
      <c r="E988" s="404"/>
      <c r="F988" s="404"/>
      <c r="G988" s="390"/>
      <c r="H988" s="391"/>
      <c r="I988" s="404">
        <f>'2016'!E673</f>
        <v>3671882.7</v>
      </c>
      <c r="J988" s="404">
        <f>'2016'!F673</f>
        <v>3131959.13</v>
      </c>
      <c r="K988" s="390">
        <f t="shared" si="98"/>
        <v>85.295729354317331</v>
      </c>
      <c r="L988" s="391"/>
      <c r="M988" s="447"/>
    </row>
    <row r="989" spans="1:13" s="155" customFormat="1" ht="90" x14ac:dyDescent="0.25">
      <c r="A989" s="492"/>
      <c r="B989" s="384" t="s">
        <v>428</v>
      </c>
      <c r="C989" s="474" t="s">
        <v>608</v>
      </c>
      <c r="D989" s="474">
        <v>2016</v>
      </c>
      <c r="E989" s="404"/>
      <c r="F989" s="404"/>
      <c r="G989" s="390"/>
      <c r="H989" s="391"/>
      <c r="I989" s="401">
        <f>I990</f>
        <v>213540.4</v>
      </c>
      <c r="J989" s="401">
        <f>J990</f>
        <v>207065</v>
      </c>
      <c r="K989" s="390">
        <f t="shared" si="98"/>
        <v>96.967599573663804</v>
      </c>
      <c r="L989" s="404"/>
      <c r="M989" s="404"/>
    </row>
    <row r="990" spans="1:13" s="155" customFormat="1" x14ac:dyDescent="0.25">
      <c r="A990" s="492"/>
      <c r="B990" s="387" t="s">
        <v>13</v>
      </c>
      <c r="C990" s="388"/>
      <c r="D990" s="388"/>
      <c r="E990" s="404"/>
      <c r="F990" s="404"/>
      <c r="G990" s="390"/>
      <c r="H990" s="391"/>
      <c r="I990" s="404">
        <f>'2016'!E675</f>
        <v>213540.4</v>
      </c>
      <c r="J990" s="404">
        <f>'2016'!F675</f>
        <v>207065</v>
      </c>
      <c r="K990" s="390">
        <f t="shared" si="98"/>
        <v>96.967599573663804</v>
      </c>
      <c r="L990" s="391"/>
      <c r="M990" s="447"/>
    </row>
    <row r="991" spans="1:13" s="155" customFormat="1" ht="75" x14ac:dyDescent="0.25">
      <c r="A991" s="492"/>
      <c r="B991" s="384" t="s">
        <v>41</v>
      </c>
      <c r="C991" s="474" t="s">
        <v>608</v>
      </c>
      <c r="D991" s="474">
        <v>2016</v>
      </c>
      <c r="E991" s="404"/>
      <c r="F991" s="404"/>
      <c r="G991" s="390"/>
      <c r="H991" s="391"/>
      <c r="I991" s="401">
        <f>I992</f>
        <v>123770.3</v>
      </c>
      <c r="J991" s="401">
        <f>J992</f>
        <v>70701.55</v>
      </c>
      <c r="K991" s="390">
        <f t="shared" si="98"/>
        <v>57.12319514455406</v>
      </c>
      <c r="L991" s="391"/>
      <c r="M991" s="447"/>
    </row>
    <row r="992" spans="1:13" s="155" customFormat="1" x14ac:dyDescent="0.25">
      <c r="A992" s="492"/>
      <c r="B992" s="387" t="s">
        <v>13</v>
      </c>
      <c r="C992" s="388"/>
      <c r="D992" s="388"/>
      <c r="E992" s="404"/>
      <c r="F992" s="404"/>
      <c r="G992" s="390"/>
      <c r="H992" s="391"/>
      <c r="I992" s="404">
        <f>'2016'!E677</f>
        <v>123770.3</v>
      </c>
      <c r="J992" s="404">
        <f>'2016'!F677</f>
        <v>70701.55</v>
      </c>
      <c r="K992" s="390">
        <f t="shared" si="98"/>
        <v>57.12319514455406</v>
      </c>
      <c r="L992" s="391"/>
      <c r="M992" s="447"/>
    </row>
    <row r="993" spans="1:13" s="155" customFormat="1" ht="45" x14ac:dyDescent="0.25">
      <c r="A993" s="492"/>
      <c r="B993" s="384" t="s">
        <v>42</v>
      </c>
      <c r="C993" s="474" t="s">
        <v>608</v>
      </c>
      <c r="D993" s="474">
        <v>2016</v>
      </c>
      <c r="E993" s="404"/>
      <c r="F993" s="404"/>
      <c r="G993" s="390"/>
      <c r="H993" s="391"/>
      <c r="I993" s="401">
        <f>I994</f>
        <v>9922</v>
      </c>
      <c r="J993" s="401">
        <f>J994</f>
        <v>8577.52</v>
      </c>
      <c r="K993" s="390">
        <f t="shared" si="98"/>
        <v>86.449506147954054</v>
      </c>
      <c r="L993" s="391"/>
      <c r="M993" s="447"/>
    </row>
    <row r="994" spans="1:13" s="155" customFormat="1" x14ac:dyDescent="0.25">
      <c r="A994" s="492"/>
      <c r="B994" s="387" t="s">
        <v>13</v>
      </c>
      <c r="C994" s="388"/>
      <c r="D994" s="388"/>
      <c r="E994" s="404"/>
      <c r="F994" s="404"/>
      <c r="G994" s="390"/>
      <c r="H994" s="391"/>
      <c r="I994" s="404">
        <f>'2016'!E679</f>
        <v>9922</v>
      </c>
      <c r="J994" s="404">
        <f>'2016'!F679</f>
        <v>8577.52</v>
      </c>
      <c r="K994" s="390">
        <f t="shared" si="98"/>
        <v>86.449506147954054</v>
      </c>
      <c r="L994" s="391"/>
      <c r="M994" s="447"/>
    </row>
    <row r="995" spans="1:13" s="155" customFormat="1" ht="45" x14ac:dyDescent="0.25">
      <c r="A995" s="492"/>
      <c r="B995" s="384" t="s">
        <v>429</v>
      </c>
      <c r="C995" s="474" t="s">
        <v>149</v>
      </c>
      <c r="D995" s="474">
        <v>2016</v>
      </c>
      <c r="E995" s="404"/>
      <c r="F995" s="404"/>
      <c r="G995" s="390"/>
      <c r="H995" s="391"/>
      <c r="I995" s="401">
        <f>I996</f>
        <v>246000</v>
      </c>
      <c r="J995" s="401">
        <f>J996</f>
        <v>157597.95000000001</v>
      </c>
      <c r="K995" s="390">
        <f t="shared" si="98"/>
        <v>64.064207317073169</v>
      </c>
      <c r="L995" s="391"/>
      <c r="M995" s="447"/>
    </row>
    <row r="996" spans="1:13" s="155" customFormat="1" x14ac:dyDescent="0.25">
      <c r="A996" s="492"/>
      <c r="B996" s="387" t="s">
        <v>13</v>
      </c>
      <c r="C996" s="388"/>
      <c r="D996" s="388"/>
      <c r="E996" s="404"/>
      <c r="F996" s="404"/>
      <c r="G996" s="390"/>
      <c r="H996" s="391"/>
      <c r="I996" s="404">
        <f>'2016'!E681</f>
        <v>246000</v>
      </c>
      <c r="J996" s="404">
        <f>'2016'!F681</f>
        <v>157597.95000000001</v>
      </c>
      <c r="K996" s="390">
        <f t="shared" si="98"/>
        <v>64.064207317073169</v>
      </c>
      <c r="L996" s="391"/>
      <c r="M996" s="447"/>
    </row>
    <row r="997" spans="1:13" s="155" customFormat="1" ht="60" x14ac:dyDescent="0.25">
      <c r="A997" s="492"/>
      <c r="B997" s="384" t="s">
        <v>43</v>
      </c>
      <c r="C997" s="474" t="s">
        <v>26</v>
      </c>
      <c r="D997" s="474">
        <v>2016</v>
      </c>
      <c r="E997" s="404"/>
      <c r="F997" s="404"/>
      <c r="G997" s="390"/>
      <c r="H997" s="391"/>
      <c r="I997" s="401">
        <f>I998</f>
        <v>15556666</v>
      </c>
      <c r="J997" s="401">
        <f>J998</f>
        <v>14921595.100000001</v>
      </c>
      <c r="K997" s="390">
        <f t="shared" si="98"/>
        <v>95.917692775560013</v>
      </c>
      <c r="L997" s="391"/>
      <c r="M997" s="447"/>
    </row>
    <row r="998" spans="1:13" s="155" customFormat="1" x14ac:dyDescent="0.25">
      <c r="A998" s="492"/>
      <c r="B998" s="387" t="s">
        <v>312</v>
      </c>
      <c r="C998" s="388"/>
      <c r="D998" s="388"/>
      <c r="E998" s="404"/>
      <c r="F998" s="404"/>
      <c r="G998" s="390"/>
      <c r="H998" s="391"/>
      <c r="I998" s="404">
        <f>I999+I1000+I1001+I1002+I1003+I1004+I1005</f>
        <v>15556666</v>
      </c>
      <c r="J998" s="404">
        <f>J999+J1000+J1001+J1002+J1003+J1004+J1005</f>
        <v>14921595.100000001</v>
      </c>
      <c r="K998" s="390">
        <f t="shared" si="98"/>
        <v>95.917692775560013</v>
      </c>
      <c r="L998" s="391"/>
      <c r="M998" s="447"/>
    </row>
    <row r="999" spans="1:13" s="155" customFormat="1" x14ac:dyDescent="0.25">
      <c r="A999" s="492"/>
      <c r="B999" s="381" t="s">
        <v>28</v>
      </c>
      <c r="C999" s="388"/>
      <c r="D999" s="388"/>
      <c r="E999" s="404"/>
      <c r="F999" s="404"/>
      <c r="G999" s="390"/>
      <c r="H999" s="391"/>
      <c r="I999" s="404">
        <f>'2016'!E684</f>
        <v>1174405.6000000001</v>
      </c>
      <c r="J999" s="404">
        <f>'2016'!F684</f>
        <v>1035628.4</v>
      </c>
      <c r="K999" s="390">
        <f t="shared" si="98"/>
        <v>88.183196674130286</v>
      </c>
      <c r="L999" s="391"/>
      <c r="M999" s="447"/>
    </row>
    <row r="1000" spans="1:13" s="155" customFormat="1" x14ac:dyDescent="0.25">
      <c r="A1000" s="492"/>
      <c r="B1000" s="381" t="s">
        <v>29</v>
      </c>
      <c r="C1000" s="388"/>
      <c r="D1000" s="388"/>
      <c r="E1000" s="404"/>
      <c r="F1000" s="404"/>
      <c r="G1000" s="390"/>
      <c r="H1000" s="391"/>
      <c r="I1000" s="404">
        <f>'2016'!E685</f>
        <v>585562.1</v>
      </c>
      <c r="J1000" s="404">
        <f>'2016'!F685</f>
        <v>531558.40000000002</v>
      </c>
      <c r="K1000" s="390">
        <f t="shared" si="98"/>
        <v>90.777459811692054</v>
      </c>
      <c r="L1000" s="391"/>
      <c r="M1000" s="447"/>
    </row>
    <row r="1001" spans="1:13" s="155" customFormat="1" x14ac:dyDescent="0.25">
      <c r="A1001" s="492"/>
      <c r="B1001" s="381" t="s">
        <v>30</v>
      </c>
      <c r="C1001" s="388"/>
      <c r="D1001" s="388"/>
      <c r="E1001" s="404"/>
      <c r="F1001" s="404"/>
      <c r="G1001" s="390"/>
      <c r="H1001" s="391"/>
      <c r="I1001" s="404">
        <f>'2016'!E686</f>
        <v>2390317.6</v>
      </c>
      <c r="J1001" s="404">
        <f>'2016'!F686</f>
        <v>1831070.7</v>
      </c>
      <c r="K1001" s="390">
        <f t="shared" si="98"/>
        <v>76.603657187647357</v>
      </c>
      <c r="L1001" s="391"/>
      <c r="M1001" s="447"/>
    </row>
    <row r="1002" spans="1:13" s="155" customFormat="1" x14ac:dyDescent="0.25">
      <c r="A1002" s="492"/>
      <c r="B1002" s="381" t="s">
        <v>31</v>
      </c>
      <c r="C1002" s="388"/>
      <c r="D1002" s="388"/>
      <c r="E1002" s="404"/>
      <c r="F1002" s="404"/>
      <c r="G1002" s="390"/>
      <c r="H1002" s="391"/>
      <c r="I1002" s="404">
        <f>'2016'!E687</f>
        <v>1402856.9</v>
      </c>
      <c r="J1002" s="404">
        <f>'2016'!F687</f>
        <v>1198585.3999999999</v>
      </c>
      <c r="K1002" s="390">
        <f t="shared" si="98"/>
        <v>85.438892591254316</v>
      </c>
      <c r="L1002" s="391"/>
      <c r="M1002" s="447"/>
    </row>
    <row r="1003" spans="1:13" s="155" customFormat="1" x14ac:dyDescent="0.25">
      <c r="A1003" s="492"/>
      <c r="B1003" s="381" t="s">
        <v>32</v>
      </c>
      <c r="C1003" s="388"/>
      <c r="D1003" s="388"/>
      <c r="E1003" s="404"/>
      <c r="F1003" s="404"/>
      <c r="G1003" s="390"/>
      <c r="H1003" s="391"/>
      <c r="I1003" s="404">
        <f>'2016'!E688</f>
        <v>1678671.7</v>
      </c>
      <c r="J1003" s="404">
        <f>'2016'!F688</f>
        <v>1629200.1</v>
      </c>
      <c r="K1003" s="390">
        <f t="shared" si="98"/>
        <v>97.052931791249009</v>
      </c>
      <c r="L1003" s="391"/>
      <c r="M1003" s="447"/>
    </row>
    <row r="1004" spans="1:13" s="155" customFormat="1" x14ac:dyDescent="0.25">
      <c r="A1004" s="492"/>
      <c r="B1004" s="381" t="s">
        <v>33</v>
      </c>
      <c r="C1004" s="388"/>
      <c r="D1004" s="388"/>
      <c r="E1004" s="404"/>
      <c r="F1004" s="404"/>
      <c r="G1004" s="390"/>
      <c r="H1004" s="391"/>
      <c r="I1004" s="404">
        <f>'2016'!E689</f>
        <v>336155.9</v>
      </c>
      <c r="J1004" s="404">
        <f>'2016'!F689</f>
        <v>356510.7</v>
      </c>
      <c r="K1004" s="390">
        <f t="shared" si="98"/>
        <v>106.05516666522882</v>
      </c>
      <c r="L1004" s="391"/>
      <c r="M1004" s="447"/>
    </row>
    <row r="1005" spans="1:13" s="155" customFormat="1" x14ac:dyDescent="0.25">
      <c r="A1005" s="492"/>
      <c r="B1005" s="381" t="s">
        <v>34</v>
      </c>
      <c r="C1005" s="388"/>
      <c r="D1005" s="388"/>
      <c r="E1005" s="404"/>
      <c r="F1005" s="404"/>
      <c r="G1005" s="390"/>
      <c r="H1005" s="391"/>
      <c r="I1005" s="404">
        <f>'2016'!E690</f>
        <v>7988696.2000000002</v>
      </c>
      <c r="J1005" s="404">
        <f>'2016'!F690</f>
        <v>8339041.4000000004</v>
      </c>
      <c r="K1005" s="390">
        <f t="shared" si="98"/>
        <v>104.38551161827885</v>
      </c>
      <c r="L1005" s="479"/>
      <c r="M1005" s="447"/>
    </row>
    <row r="1006" spans="1:13" s="155" customFormat="1" x14ac:dyDescent="0.25">
      <c r="A1006" s="492"/>
      <c r="B1006" s="394" t="s">
        <v>431</v>
      </c>
      <c r="C1006" s="388"/>
      <c r="D1006" s="388"/>
      <c r="E1006" s="404"/>
      <c r="F1006" s="404"/>
      <c r="G1006" s="390"/>
      <c r="H1006" s="391"/>
      <c r="I1006" s="406">
        <f>I1007+I1008</f>
        <v>19821781.399999999</v>
      </c>
      <c r="J1006" s="406">
        <f>J1007+J1008</f>
        <v>18497496.25</v>
      </c>
      <c r="K1006" s="396">
        <f t="shared" si="98"/>
        <v>93.31904068924905</v>
      </c>
      <c r="L1006" s="391"/>
      <c r="M1006" s="447"/>
    </row>
    <row r="1007" spans="1:13" s="155" customFormat="1" x14ac:dyDescent="0.25">
      <c r="A1007" s="492"/>
      <c r="B1007" s="387" t="s">
        <v>13</v>
      </c>
      <c r="C1007" s="388"/>
      <c r="D1007" s="388"/>
      <c r="E1007" s="404"/>
      <c r="F1007" s="404"/>
      <c r="G1007" s="390"/>
      <c r="H1007" s="391"/>
      <c r="I1007" s="404">
        <f>I988+I990+I992+I994+I996</f>
        <v>4265115.4000000004</v>
      </c>
      <c r="J1007" s="404">
        <f>J988+J990+J992+J994+J996</f>
        <v>3575901.15</v>
      </c>
      <c r="K1007" s="390">
        <f t="shared" si="98"/>
        <v>83.8406658352081</v>
      </c>
      <c r="L1007" s="391"/>
      <c r="M1007" s="447"/>
    </row>
    <row r="1008" spans="1:13" ht="21" customHeight="1" x14ac:dyDescent="0.25">
      <c r="A1008" s="492"/>
      <c r="B1008" s="387" t="s">
        <v>615</v>
      </c>
      <c r="C1008" s="262"/>
      <c r="D1008" s="262"/>
      <c r="E1008" s="440"/>
      <c r="F1008" s="440"/>
      <c r="G1008" s="390"/>
      <c r="H1008" s="261"/>
      <c r="I1008" s="404">
        <f>I998</f>
        <v>15556666</v>
      </c>
      <c r="J1008" s="404">
        <f>J998</f>
        <v>14921595.100000001</v>
      </c>
      <c r="K1008" s="390">
        <f t="shared" si="98"/>
        <v>95.917692775560013</v>
      </c>
      <c r="L1008" s="261"/>
      <c r="M1008" s="444"/>
    </row>
    <row r="1009" spans="1:13" ht="15.75" x14ac:dyDescent="0.25">
      <c r="A1009" s="492"/>
      <c r="B1009" s="476" t="s">
        <v>263</v>
      </c>
      <c r="C1009" s="262"/>
      <c r="D1009" s="262"/>
      <c r="E1009" s="406">
        <f>E1010+E1015+E1016+E1017</f>
        <v>155088385.53999999</v>
      </c>
      <c r="F1009" s="406">
        <f>F1010+F1015+F1016+F1017</f>
        <v>121363965.88999999</v>
      </c>
      <c r="G1009" s="396">
        <f t="shared" ref="G1009:G1017" si="99">F1009/E1009*100</f>
        <v>78.25470970467876</v>
      </c>
      <c r="H1009" s="261"/>
      <c r="I1009" s="406">
        <f>I1010+I1015+I1016+I1017</f>
        <v>403415740.44</v>
      </c>
      <c r="J1009" s="406">
        <f>J1010+J1015+J1016+J1017</f>
        <v>384831921.14200002</v>
      </c>
      <c r="K1009" s="396">
        <f t="shared" si="98"/>
        <v>95.393382698024908</v>
      </c>
      <c r="L1009" s="464">
        <f>I1009-I980</f>
        <v>398950190.04000002</v>
      </c>
      <c r="M1009" s="464">
        <f>J1009-J980</f>
        <v>380366370.74200004</v>
      </c>
    </row>
    <row r="1010" spans="1:13" s="155" customFormat="1" ht="15.75" x14ac:dyDescent="0.25">
      <c r="A1010" s="492"/>
      <c r="B1010" s="477" t="s">
        <v>13</v>
      </c>
      <c r="C1010" s="388"/>
      <c r="D1010" s="388"/>
      <c r="E1010" s="404">
        <f>E82+E173+E244+E682+E853+E965+E982+E1007</f>
        <v>49152583.299999997</v>
      </c>
      <c r="F1010" s="404">
        <f>F82+F173+F244+F682+F853+F965+F982+F1007</f>
        <v>47877467.420000002</v>
      </c>
      <c r="G1010" s="390">
        <f t="shared" si="99"/>
        <v>97.405800886969871</v>
      </c>
      <c r="H1010" s="391"/>
      <c r="I1010" s="404">
        <f>I82+I173+I244+I682+I853+I965+I982+I1007</f>
        <v>151758307.30000001</v>
      </c>
      <c r="J1010" s="404">
        <f>J82+J173+J244+J682+J853+J965+J982+J1007</f>
        <v>139660751.32000002</v>
      </c>
      <c r="K1010" s="390">
        <f t="shared" si="98"/>
        <v>92.028406091743491</v>
      </c>
      <c r="L1010" s="391"/>
      <c r="M1010" s="464"/>
    </row>
    <row r="1011" spans="1:13" s="155" customFormat="1" ht="15.75" x14ac:dyDescent="0.25">
      <c r="A1011" s="492"/>
      <c r="B1011" s="477" t="s">
        <v>438</v>
      </c>
      <c r="C1011" s="388"/>
      <c r="D1011" s="388"/>
      <c r="E1011" s="404"/>
      <c r="F1011" s="404"/>
      <c r="G1011" s="390"/>
      <c r="H1011" s="391"/>
      <c r="I1011" s="391"/>
      <c r="J1011" s="391"/>
      <c r="K1011" s="390"/>
      <c r="L1011" s="391"/>
      <c r="M1011" s="464"/>
    </row>
    <row r="1012" spans="1:13" s="155" customFormat="1" ht="34.5" customHeight="1" x14ac:dyDescent="0.25">
      <c r="A1012" s="492"/>
      <c r="B1012" s="477" t="s">
        <v>439</v>
      </c>
      <c r="C1012" s="388"/>
      <c r="D1012" s="388"/>
      <c r="E1012" s="404">
        <f>E84</f>
        <v>403585</v>
      </c>
      <c r="F1012" s="404">
        <f>F84</f>
        <v>403585</v>
      </c>
      <c r="G1012" s="390">
        <f t="shared" si="99"/>
        <v>100</v>
      </c>
      <c r="H1012" s="391"/>
      <c r="I1012" s="404">
        <f>I84</f>
        <v>984359</v>
      </c>
      <c r="J1012" s="404">
        <f>J84</f>
        <v>984359</v>
      </c>
      <c r="K1012" s="390">
        <f t="shared" si="98"/>
        <v>100</v>
      </c>
      <c r="L1012" s="391"/>
      <c r="M1012" s="464"/>
    </row>
    <row r="1013" spans="1:13" s="155" customFormat="1" ht="48" customHeight="1" x14ac:dyDescent="0.25">
      <c r="A1013" s="492"/>
      <c r="B1013" s="477" t="s">
        <v>616</v>
      </c>
      <c r="C1013" s="388"/>
      <c r="D1013" s="388"/>
      <c r="E1013" s="404">
        <f>E983</f>
        <v>5525550.4000000004</v>
      </c>
      <c r="F1013" s="404">
        <f>F983</f>
        <v>4525522.88</v>
      </c>
      <c r="G1013" s="390">
        <f t="shared" si="99"/>
        <v>81.901757334436752</v>
      </c>
      <c r="H1013" s="391"/>
      <c r="I1013" s="404">
        <f>I983</f>
        <v>5525550.4000000004</v>
      </c>
      <c r="J1013" s="404">
        <f>J983</f>
        <v>4525522.88</v>
      </c>
      <c r="K1013" s="390">
        <f t="shared" si="98"/>
        <v>81.901757334436752</v>
      </c>
      <c r="L1013" s="391"/>
      <c r="M1013" s="464"/>
    </row>
    <row r="1014" spans="1:13" s="155" customFormat="1" ht="49.5" customHeight="1" x14ac:dyDescent="0.25">
      <c r="A1014" s="492"/>
      <c r="B1014" s="477" t="s">
        <v>617</v>
      </c>
      <c r="C1014" s="388"/>
      <c r="D1014" s="388"/>
      <c r="E1014" s="404">
        <f>E984</f>
        <v>3282307.9</v>
      </c>
      <c r="F1014" s="404">
        <f>F984</f>
        <v>3125254.16</v>
      </c>
      <c r="G1014" s="390">
        <f t="shared" si="99"/>
        <v>95.215142979121495</v>
      </c>
      <c r="H1014" s="391"/>
      <c r="I1014" s="404">
        <f>I984</f>
        <v>3282307.9</v>
      </c>
      <c r="J1014" s="404">
        <f>J984</f>
        <v>3125254.16</v>
      </c>
      <c r="K1014" s="390">
        <f t="shared" si="98"/>
        <v>95.215142979121495</v>
      </c>
      <c r="L1014" s="391"/>
      <c r="M1014" s="464"/>
    </row>
    <row r="1015" spans="1:13" s="155" customFormat="1" ht="15.75" x14ac:dyDescent="0.25">
      <c r="A1015" s="492"/>
      <c r="B1015" s="477" t="s">
        <v>22</v>
      </c>
      <c r="C1015" s="388"/>
      <c r="D1015" s="388"/>
      <c r="E1015" s="404">
        <f>E1008+E966+E683+E245</f>
        <v>15806097.789999997</v>
      </c>
      <c r="F1015" s="404">
        <f>F1008+F966+F683+F245</f>
        <v>17112991.099999998</v>
      </c>
      <c r="G1015" s="390">
        <f t="shared" si="99"/>
        <v>108.26828561586422</v>
      </c>
      <c r="H1015" s="391"/>
      <c r="I1015" s="404">
        <f>I1008+I966+I683+I245</f>
        <v>74547390.689999998</v>
      </c>
      <c r="J1015" s="404">
        <f>J1008+J966+J683+J245</f>
        <v>68963309.462000012</v>
      </c>
      <c r="K1015" s="390">
        <f t="shared" si="98"/>
        <v>92.50935388037793</v>
      </c>
      <c r="L1015" s="391"/>
      <c r="M1015" s="464"/>
    </row>
    <row r="1016" spans="1:13" s="155" customFormat="1" ht="15.75" x14ac:dyDescent="0.25">
      <c r="A1016" s="492"/>
      <c r="B1016" s="477" t="s">
        <v>144</v>
      </c>
      <c r="C1016" s="388"/>
      <c r="D1016" s="388"/>
      <c r="E1016" s="404">
        <f>E85+E174+E246+E684+E854</f>
        <v>90112204.450000003</v>
      </c>
      <c r="F1016" s="404">
        <f>F85+F174+F246+F684+F854</f>
        <v>56356007.369999997</v>
      </c>
      <c r="G1016" s="390">
        <f t="shared" si="99"/>
        <v>62.539816569763204</v>
      </c>
      <c r="H1016" s="391"/>
      <c r="I1016" s="404">
        <f>I85+I174+I246+I684+I854</f>
        <v>176943542.44999999</v>
      </c>
      <c r="J1016" s="404">
        <f>J85+J174+J246+J684+J854</f>
        <v>174852146.41</v>
      </c>
      <c r="K1016" s="390">
        <f t="shared" si="98"/>
        <v>98.818043308593204</v>
      </c>
      <c r="L1016" s="391"/>
      <c r="M1016" s="464"/>
    </row>
    <row r="1017" spans="1:13" s="155" customFormat="1" ht="31.5" x14ac:dyDescent="0.25">
      <c r="A1017" s="492"/>
      <c r="B1017" s="477" t="s">
        <v>139</v>
      </c>
      <c r="C1017" s="388"/>
      <c r="D1017" s="388"/>
      <c r="E1017" s="404">
        <f>E685+E855</f>
        <v>17500</v>
      </c>
      <c r="F1017" s="404">
        <f>F685+F855</f>
        <v>17500</v>
      </c>
      <c r="G1017" s="390">
        <f t="shared" si="99"/>
        <v>100</v>
      </c>
      <c r="H1017" s="391"/>
      <c r="I1017" s="404">
        <f>I685+I855</f>
        <v>166500</v>
      </c>
      <c r="J1017" s="404">
        <f>J685+J855</f>
        <v>1355713.95</v>
      </c>
      <c r="K1017" s="390">
        <f t="shared" si="98"/>
        <v>814.24261261261245</v>
      </c>
      <c r="L1017" s="391"/>
      <c r="M1017" s="447"/>
    </row>
    <row r="1018" spans="1:13" x14ac:dyDescent="0.25">
      <c r="A1018" s="492"/>
      <c r="B1018" s="387"/>
      <c r="C1018" s="262"/>
      <c r="D1018" s="262"/>
      <c r="E1018" s="404">
        <f>E1009-E980-E978</f>
        <v>149622835.13999999</v>
      </c>
      <c r="F1018" s="404">
        <f>F1009-F980-F978</f>
        <v>116898415.48999998</v>
      </c>
      <c r="G1018" s="390"/>
      <c r="H1018" s="261"/>
      <c r="I1018" s="404">
        <f>I1009-I980-I978</f>
        <v>397950190.04000002</v>
      </c>
      <c r="J1018" s="404">
        <f>J1009-J980-J978</f>
        <v>380366370.74200004</v>
      </c>
      <c r="K1018" s="261"/>
      <c r="L1018" s="261"/>
      <c r="M1018" s="444"/>
    </row>
    <row r="1019" spans="1:13" x14ac:dyDescent="0.25">
      <c r="A1019" s="492"/>
      <c r="B1019" s="387"/>
      <c r="C1019" s="262"/>
      <c r="D1019" s="262"/>
      <c r="E1019" s="440"/>
      <c r="G1019" s="390"/>
      <c r="H1019" s="261"/>
      <c r="I1019" s="261"/>
      <c r="J1019" s="261"/>
      <c r="K1019" s="261"/>
      <c r="L1019" s="261"/>
      <c r="M1019" s="444"/>
    </row>
    <row r="1020" spans="1:13" x14ac:dyDescent="0.25">
      <c r="A1020" s="492"/>
      <c r="E1020" s="518"/>
      <c r="F1020" s="518"/>
      <c r="H1020" s="442"/>
      <c r="I1020" s="518"/>
      <c r="J1020" s="518"/>
      <c r="K1020" s="442"/>
      <c r="L1020" s="442"/>
      <c r="M1020" s="455"/>
    </row>
    <row r="1021" spans="1:13" x14ac:dyDescent="0.25">
      <c r="A1021" s="492"/>
      <c r="H1021" s="442"/>
      <c r="I1021" s="442"/>
      <c r="J1021" s="442"/>
      <c r="K1021" s="442"/>
      <c r="L1021" s="442"/>
      <c r="M1021" s="455"/>
    </row>
    <row r="1022" spans="1:13" x14ac:dyDescent="0.25">
      <c r="A1022" s="492"/>
      <c r="H1022" s="442"/>
      <c r="I1022" s="442"/>
      <c r="J1022" s="442"/>
      <c r="K1022" s="442"/>
      <c r="L1022" s="442"/>
      <c r="M1022" s="455"/>
    </row>
    <row r="1023" spans="1:13" x14ac:dyDescent="0.25">
      <c r="A1023" s="492"/>
      <c r="H1023" s="442"/>
      <c r="I1023" s="442"/>
      <c r="J1023" s="442"/>
      <c r="K1023" s="442"/>
      <c r="L1023" s="442"/>
      <c r="M1023" s="455"/>
    </row>
    <row r="1024" spans="1:13" x14ac:dyDescent="0.25">
      <c r="A1024" s="492"/>
      <c r="H1024" s="442"/>
      <c r="I1024" s="442"/>
      <c r="J1024" s="442"/>
      <c r="K1024" s="442"/>
      <c r="L1024" s="442"/>
      <c r="M1024" s="455"/>
    </row>
    <row r="1025" spans="1:13" x14ac:dyDescent="0.25">
      <c r="A1025" s="492"/>
      <c r="H1025" s="442"/>
      <c r="I1025" s="442"/>
      <c r="J1025" s="442"/>
      <c r="K1025" s="442"/>
      <c r="L1025" s="442"/>
      <c r="M1025" s="465"/>
    </row>
    <row r="1026" spans="1:13" x14ac:dyDescent="0.25">
      <c r="H1026" s="442"/>
      <c r="I1026" s="442"/>
      <c r="J1026" s="442"/>
      <c r="K1026" s="442"/>
      <c r="L1026" s="442"/>
      <c r="M1026" s="456"/>
    </row>
  </sheetData>
  <mergeCells count="55">
    <mergeCell ref="A88:M88"/>
    <mergeCell ref="A4:M4"/>
    <mergeCell ref="A6:A7"/>
    <mergeCell ref="B6:B7"/>
    <mergeCell ref="C6:C7"/>
    <mergeCell ref="D6:D7"/>
    <mergeCell ref="E6:G6"/>
    <mergeCell ref="H6:H7"/>
    <mergeCell ref="M6:M7"/>
    <mergeCell ref="I6:K6"/>
    <mergeCell ref="L6:L7"/>
    <mergeCell ref="A8:M8"/>
    <mergeCell ref="A9:M9"/>
    <mergeCell ref="A40:M40"/>
    <mergeCell ref="A87:M87"/>
    <mergeCell ref="A202:M202"/>
    <mergeCell ref="A95:M95"/>
    <mergeCell ref="A102:M102"/>
    <mergeCell ref="A107:M107"/>
    <mergeCell ref="A114:M114"/>
    <mergeCell ref="A123:M123"/>
    <mergeCell ref="A150:M150"/>
    <mergeCell ref="A157:M157"/>
    <mergeCell ref="A176:M176"/>
    <mergeCell ref="A177:M177"/>
    <mergeCell ref="A182:M182"/>
    <mergeCell ref="A192:M192"/>
    <mergeCell ref="B248:M248"/>
    <mergeCell ref="A717:M717"/>
    <mergeCell ref="A727:M727"/>
    <mergeCell ref="A738:M738"/>
    <mergeCell ref="A216:M216"/>
    <mergeCell ref="A231:M231"/>
    <mergeCell ref="A238:M238"/>
    <mergeCell ref="A249:M249"/>
    <mergeCell ref="A461:M461"/>
    <mergeCell ref="A686:M686"/>
    <mergeCell ref="A687:M687"/>
    <mergeCell ref="B702:M702"/>
    <mergeCell ref="L1:M1"/>
    <mergeCell ref="L2:M2"/>
    <mergeCell ref="A968:M968"/>
    <mergeCell ref="A986:M986"/>
    <mergeCell ref="A756:M756"/>
    <mergeCell ref="A828:M828"/>
    <mergeCell ref="A857:M857"/>
    <mergeCell ref="A858:M858"/>
    <mergeCell ref="A763:M763"/>
    <mergeCell ref="A768:M768"/>
    <mergeCell ref="A793:M793"/>
    <mergeCell ref="A812:M812"/>
    <mergeCell ref="A817:M817"/>
    <mergeCell ref="A751:M751"/>
    <mergeCell ref="A211:M211"/>
    <mergeCell ref="A221:M221"/>
  </mergeCells>
  <printOptions gridLines="1"/>
  <pageMargins left="0" right="0" top="0.74803149606299213" bottom="0.74803149606299213" header="0.31496062992125984" footer="0.31496062992125984"/>
  <pageSetup paperSize="9" scale="60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4"/>
  <sheetViews>
    <sheetView tabSelected="1" topLeftCell="A1002" zoomScale="120" zoomScaleNormal="120" workbookViewId="0">
      <selection activeCell="D1013" sqref="D1013"/>
    </sheetView>
  </sheetViews>
  <sheetFormatPr defaultRowHeight="15" x14ac:dyDescent="0.25"/>
  <cols>
    <col min="1" max="1" width="7" style="383" customWidth="1"/>
    <col min="2" max="2" width="49.85546875" style="441" customWidth="1"/>
    <col min="3" max="3" width="15.85546875" style="382" customWidth="1"/>
    <col min="4" max="4" width="18.140625" style="382" customWidth="1"/>
    <col min="5" max="5" width="21.42578125" style="443" customWidth="1"/>
    <col min="6" max="6" width="19.42578125" style="443" customWidth="1"/>
    <col min="7" max="7" width="24.28515625" style="133" customWidth="1"/>
    <col min="8" max="16384" width="9.140625" style="133"/>
  </cols>
  <sheetData>
    <row r="1" spans="1:7" x14ac:dyDescent="0.25">
      <c r="A1" s="538"/>
      <c r="B1" s="538"/>
      <c r="C1" s="538"/>
      <c r="D1" s="538"/>
      <c r="E1" s="538"/>
      <c r="F1" s="539" t="s">
        <v>689</v>
      </c>
    </row>
    <row r="2" spans="1:7" ht="24.75" customHeight="1" x14ac:dyDescent="0.25">
      <c r="A2" s="519"/>
      <c r="B2" s="520"/>
      <c r="C2" s="521"/>
      <c r="D2" s="521"/>
      <c r="E2" s="522"/>
      <c r="F2" s="539" t="s">
        <v>693</v>
      </c>
    </row>
    <row r="3" spans="1:7" ht="44.25" customHeight="1" x14ac:dyDescent="0.25">
      <c r="A3" s="571" t="s">
        <v>692</v>
      </c>
      <c r="B3" s="571"/>
      <c r="C3" s="571"/>
      <c r="D3" s="571"/>
      <c r="E3" s="571"/>
      <c r="F3" s="571"/>
      <c r="G3" s="537"/>
    </row>
    <row r="4" spans="1:7" ht="48" customHeight="1" x14ac:dyDescent="0.25">
      <c r="A4" s="564" t="s">
        <v>2</v>
      </c>
      <c r="B4" s="564" t="s">
        <v>1</v>
      </c>
      <c r="C4" s="564" t="s">
        <v>517</v>
      </c>
      <c r="D4" s="564"/>
      <c r="E4" s="564" t="s">
        <v>690</v>
      </c>
      <c r="F4" s="564"/>
    </row>
    <row r="5" spans="1:7" x14ac:dyDescent="0.25">
      <c r="A5" s="564"/>
      <c r="B5" s="564"/>
      <c r="C5" s="530" t="s">
        <v>5</v>
      </c>
      <c r="D5" s="530" t="s">
        <v>691</v>
      </c>
      <c r="E5" s="530" t="s">
        <v>5</v>
      </c>
      <c r="F5" s="530" t="s">
        <v>691</v>
      </c>
    </row>
    <row r="6" spans="1:7" x14ac:dyDescent="0.25">
      <c r="A6" s="565" t="s">
        <v>303</v>
      </c>
      <c r="B6" s="565"/>
      <c r="C6" s="565"/>
      <c r="D6" s="565"/>
      <c r="E6" s="565"/>
      <c r="F6" s="565"/>
    </row>
    <row r="7" spans="1:7" x14ac:dyDescent="0.25">
      <c r="A7" s="564" t="s">
        <v>11</v>
      </c>
      <c r="B7" s="564"/>
      <c r="C7" s="564"/>
      <c r="D7" s="564"/>
      <c r="E7" s="564"/>
      <c r="F7" s="564"/>
    </row>
    <row r="8" spans="1:7" ht="46.5" customHeight="1" x14ac:dyDescent="0.25">
      <c r="A8" s="530">
        <v>1</v>
      </c>
      <c r="B8" s="384" t="s">
        <v>270</v>
      </c>
      <c r="C8" s="385">
        <f>C9+C10</f>
        <v>90411434.450000003</v>
      </c>
      <c r="D8" s="385">
        <f>D9+D10</f>
        <v>56656601</v>
      </c>
      <c r="E8" s="385">
        <f>E9+E10</f>
        <v>176677130.34999999</v>
      </c>
      <c r="F8" s="385">
        <f>F9+F10</f>
        <v>145080068.09999999</v>
      </c>
    </row>
    <row r="9" spans="1:7" s="155" customFormat="1" x14ac:dyDescent="0.25">
      <c r="A9" s="530"/>
      <c r="B9" s="387" t="s">
        <v>13</v>
      </c>
      <c r="C9" s="389">
        <v>5950601</v>
      </c>
      <c r="D9" s="389">
        <v>5950601</v>
      </c>
      <c r="E9" s="389">
        <f>C9+'2016'!E10+'2017'!E10+'2018'!E10</f>
        <v>22765601.899999999</v>
      </c>
      <c r="F9" s="389">
        <f>C9+'2016'!E10+'2017'!E10+'2018'!E10</f>
        <v>22765601.899999999</v>
      </c>
    </row>
    <row r="10" spans="1:7" s="155" customFormat="1" x14ac:dyDescent="0.25">
      <c r="A10" s="530"/>
      <c r="B10" s="392" t="s">
        <v>582</v>
      </c>
      <c r="C10" s="389">
        <v>84460833.450000003</v>
      </c>
      <c r="D10" s="389">
        <v>50706000</v>
      </c>
      <c r="E10" s="389">
        <f>C10+'2016'!E11+'2017'!E11+'2018'!E11</f>
        <v>153911528.44999999</v>
      </c>
      <c r="F10" s="389">
        <f>D10+'2016'!F11+'2017'!F11+'2018'!F11</f>
        <v>122314466.2</v>
      </c>
    </row>
    <row r="11" spans="1:7" x14ac:dyDescent="0.25">
      <c r="A11" s="530"/>
      <c r="B11" s="393" t="s">
        <v>155</v>
      </c>
      <c r="C11" s="385"/>
      <c r="D11" s="385"/>
      <c r="E11" s="391"/>
      <c r="F11" s="391"/>
    </row>
    <row r="12" spans="1:7" ht="60" x14ac:dyDescent="0.25">
      <c r="A12" s="530"/>
      <c r="B12" s="384" t="s">
        <v>279</v>
      </c>
      <c r="C12" s="385">
        <v>55000</v>
      </c>
      <c r="D12" s="385">
        <f>D13</f>
        <v>55000</v>
      </c>
      <c r="E12" s="385">
        <f>E13</f>
        <v>153602.74</v>
      </c>
      <c r="F12" s="385">
        <f>F13</f>
        <v>153602.74</v>
      </c>
    </row>
    <row r="13" spans="1:7" s="155" customFormat="1" x14ac:dyDescent="0.25">
      <c r="A13" s="530"/>
      <c r="B13" s="387" t="s">
        <v>13</v>
      </c>
      <c r="C13" s="389">
        <v>55000</v>
      </c>
      <c r="D13" s="389">
        <v>55000</v>
      </c>
      <c r="E13" s="389">
        <f>C13+'2017'!E14+'2018'!E14</f>
        <v>153602.74</v>
      </c>
      <c r="F13" s="389">
        <f>C13+'2017'!E14+'2018'!E14</f>
        <v>153602.74</v>
      </c>
    </row>
    <row r="14" spans="1:7" ht="105" x14ac:dyDescent="0.25">
      <c r="A14" s="530"/>
      <c r="B14" s="384" t="s">
        <v>281</v>
      </c>
      <c r="C14" s="385">
        <f>C15+C16</f>
        <v>200013.45</v>
      </c>
      <c r="D14" s="385">
        <f>D15+D16</f>
        <v>200013.45</v>
      </c>
      <c r="E14" s="385">
        <f>E15+E16</f>
        <v>581011.44999999995</v>
      </c>
      <c r="F14" s="385">
        <f>F15+F16</f>
        <v>581071.44999999995</v>
      </c>
    </row>
    <row r="15" spans="1:7" s="155" customFormat="1" x14ac:dyDescent="0.25">
      <c r="A15" s="530"/>
      <c r="B15" s="387" t="s">
        <v>13</v>
      </c>
      <c r="C15" s="389">
        <v>139180</v>
      </c>
      <c r="D15" s="389">
        <v>139180</v>
      </c>
      <c r="E15" s="389">
        <f>C15+'2017'!E16+'2018'!E16</f>
        <v>389094</v>
      </c>
      <c r="F15" s="389">
        <f>C15+'2017'!E16+'2018'!E16</f>
        <v>389094</v>
      </c>
    </row>
    <row r="16" spans="1:7" s="155" customFormat="1" x14ac:dyDescent="0.25">
      <c r="A16" s="530"/>
      <c r="B16" s="392" t="s">
        <v>582</v>
      </c>
      <c r="C16" s="389">
        <v>60833.45</v>
      </c>
      <c r="D16" s="389">
        <v>60833.45</v>
      </c>
      <c r="E16" s="389">
        <f>C16+'2017'!E17+'2018'!E17</f>
        <v>191917.45</v>
      </c>
      <c r="F16" s="389">
        <f>D16+'2017'!F17+'2018'!F17</f>
        <v>191977.45</v>
      </c>
    </row>
    <row r="17" spans="1:6" ht="90" x14ac:dyDescent="0.25">
      <c r="A17" s="530">
        <v>2</v>
      </c>
      <c r="B17" s="384" t="s">
        <v>269</v>
      </c>
      <c r="C17" s="385">
        <f>C18+C19</f>
        <v>2231680</v>
      </c>
      <c r="D17" s="385">
        <f>D18+D19</f>
        <v>3480482.7</v>
      </c>
      <c r="E17" s="385">
        <f>E18+E19</f>
        <v>8571410</v>
      </c>
      <c r="F17" s="385">
        <f>F18+F19</f>
        <v>7120318.5499999998</v>
      </c>
    </row>
    <row r="18" spans="1:6" s="155" customFormat="1" x14ac:dyDescent="0.25">
      <c r="A18" s="530"/>
      <c r="B18" s="387" t="s">
        <v>13</v>
      </c>
      <c r="C18" s="389">
        <v>1111680</v>
      </c>
      <c r="D18" s="389">
        <v>1111680</v>
      </c>
      <c r="E18" s="389">
        <f>C18+'2016'!E13+'2017'!E19+'2018'!E19</f>
        <v>2662810</v>
      </c>
      <c r="F18" s="389">
        <f>C18+'2016'!E13+'2017'!E19+'2018'!E19</f>
        <v>2662810</v>
      </c>
    </row>
    <row r="19" spans="1:6" s="155" customFormat="1" x14ac:dyDescent="0.25">
      <c r="A19" s="530"/>
      <c r="B19" s="392" t="s">
        <v>19</v>
      </c>
      <c r="C19" s="389">
        <v>1120000</v>
      </c>
      <c r="D19" s="389">
        <v>2368802.7000000002</v>
      </c>
      <c r="E19" s="389">
        <f>C19+'2016'!E14+'2017'!E20+'2018'!E20</f>
        <v>5908600</v>
      </c>
      <c r="F19" s="389">
        <f>D19+'2016'!F14+'2017'!F20+'2018'!F20</f>
        <v>4457508.55</v>
      </c>
    </row>
    <row r="20" spans="1:6" s="155" customFormat="1" x14ac:dyDescent="0.25">
      <c r="A20" s="530"/>
      <c r="B20" s="393" t="s">
        <v>155</v>
      </c>
      <c r="C20" s="389"/>
      <c r="D20" s="389"/>
      <c r="E20" s="391"/>
      <c r="F20" s="391"/>
    </row>
    <row r="21" spans="1:6" s="155" customFormat="1" ht="75" x14ac:dyDescent="0.25">
      <c r="A21" s="530"/>
      <c r="B21" s="384" t="s">
        <v>434</v>
      </c>
      <c r="C21" s="385"/>
      <c r="D21" s="385"/>
      <c r="E21" s="385">
        <f>E22+E23</f>
        <v>130500</v>
      </c>
      <c r="F21" s="385">
        <f>F22+F23</f>
        <v>130500</v>
      </c>
    </row>
    <row r="22" spans="1:6" s="155" customFormat="1" x14ac:dyDescent="0.25">
      <c r="A22" s="530"/>
      <c r="B22" s="387" t="s">
        <v>13</v>
      </c>
      <c r="C22" s="389"/>
      <c r="D22" s="389"/>
      <c r="E22" s="389">
        <f>'2018'!E23</f>
        <v>90000</v>
      </c>
      <c r="F22" s="389">
        <f>'2018'!F23</f>
        <v>90000</v>
      </c>
    </row>
    <row r="23" spans="1:6" s="155" customFormat="1" x14ac:dyDescent="0.25">
      <c r="A23" s="530"/>
      <c r="B23" s="392" t="s">
        <v>19</v>
      </c>
      <c r="C23" s="389"/>
      <c r="D23" s="389"/>
      <c r="E23" s="389">
        <f>'2018'!E24</f>
        <v>40500</v>
      </c>
      <c r="F23" s="389">
        <f>'2018'!F24</f>
        <v>40500</v>
      </c>
    </row>
    <row r="24" spans="1:6" ht="60" x14ac:dyDescent="0.25">
      <c r="A24" s="530">
        <v>3</v>
      </c>
      <c r="B24" s="384" t="s">
        <v>268</v>
      </c>
      <c r="C24" s="385">
        <f>C25+C26</f>
        <v>1210000</v>
      </c>
      <c r="D24" s="385">
        <f>D25+D26</f>
        <v>553728.65</v>
      </c>
      <c r="E24" s="385">
        <f>E25+E26</f>
        <v>6964295</v>
      </c>
      <c r="F24" s="385">
        <f>F25+F26</f>
        <v>3332144.2199999997</v>
      </c>
    </row>
    <row r="25" spans="1:6" s="155" customFormat="1" x14ac:dyDescent="0.25">
      <c r="A25" s="530"/>
      <c r="B25" s="387" t="s">
        <v>13</v>
      </c>
      <c r="C25" s="389"/>
      <c r="D25" s="389"/>
      <c r="E25" s="389">
        <f>C25+'2016'!E16+'2017'!E22+'2018'!E26</f>
        <v>1077495</v>
      </c>
      <c r="F25" s="389">
        <f>D25+'2016'!E16+'2017'!E22+'2018'!E26</f>
        <v>1077495</v>
      </c>
    </row>
    <row r="26" spans="1:6" s="155" customFormat="1" x14ac:dyDescent="0.25">
      <c r="A26" s="530"/>
      <c r="B26" s="392" t="s">
        <v>19</v>
      </c>
      <c r="C26" s="389">
        <v>1210000</v>
      </c>
      <c r="D26" s="389">
        <v>553728.65</v>
      </c>
      <c r="E26" s="389">
        <f>C26+'2016'!E17+'2017'!E23+'2018'!E27</f>
        <v>5886800</v>
      </c>
      <c r="F26" s="389">
        <f>D26+'2016'!F17+'2017'!F23+'2018'!F27</f>
        <v>2254649.2199999997</v>
      </c>
    </row>
    <row r="27" spans="1:6" x14ac:dyDescent="0.25">
      <c r="A27" s="530"/>
      <c r="B27" s="393" t="s">
        <v>155</v>
      </c>
      <c r="C27" s="386"/>
      <c r="D27" s="386"/>
      <c r="E27" s="391"/>
      <c r="F27" s="391"/>
    </row>
    <row r="28" spans="1:6" ht="30" x14ac:dyDescent="0.25">
      <c r="A28" s="530"/>
      <c r="B28" s="384" t="s">
        <v>282</v>
      </c>
      <c r="C28" s="385"/>
      <c r="D28" s="385"/>
      <c r="E28" s="385">
        <f>E29</f>
        <v>652020</v>
      </c>
      <c r="F28" s="385">
        <f>F29</f>
        <v>652020</v>
      </c>
    </row>
    <row r="29" spans="1:6" s="155" customFormat="1" x14ac:dyDescent="0.25">
      <c r="A29" s="530"/>
      <c r="B29" s="387" t="s">
        <v>13</v>
      </c>
      <c r="C29" s="389"/>
      <c r="D29" s="389"/>
      <c r="E29" s="389">
        <f>'2017'!E26+'2018'!E30</f>
        <v>652020</v>
      </c>
      <c r="F29" s="389">
        <f>'2017'!E26+'2018'!E30</f>
        <v>652020</v>
      </c>
    </row>
    <row r="30" spans="1:6" s="155" customFormat="1" ht="105" x14ac:dyDescent="0.25">
      <c r="A30" s="530"/>
      <c r="B30" s="384" t="s">
        <v>436</v>
      </c>
      <c r="C30" s="385"/>
      <c r="D30" s="385"/>
      <c r="E30" s="385">
        <f>E31</f>
        <v>35475</v>
      </c>
      <c r="F30" s="385">
        <f>F31</f>
        <v>35475</v>
      </c>
    </row>
    <row r="31" spans="1:6" s="155" customFormat="1" x14ac:dyDescent="0.25">
      <c r="A31" s="530"/>
      <c r="B31" s="387" t="s">
        <v>13</v>
      </c>
      <c r="C31" s="389"/>
      <c r="D31" s="389"/>
      <c r="E31" s="389">
        <f>'2018'!E32</f>
        <v>35475</v>
      </c>
      <c r="F31" s="389">
        <f>'2018'!E32</f>
        <v>35475</v>
      </c>
    </row>
    <row r="32" spans="1:6" x14ac:dyDescent="0.25">
      <c r="A32" s="530"/>
      <c r="B32" s="394" t="s">
        <v>54</v>
      </c>
      <c r="C32" s="395">
        <f>C33+C36</f>
        <v>93853114.450000003</v>
      </c>
      <c r="D32" s="395">
        <f>D33+D36</f>
        <v>60690812.350000001</v>
      </c>
      <c r="E32" s="395">
        <f>E33+E36</f>
        <v>192212835.34999999</v>
      </c>
      <c r="F32" s="395">
        <f>F33+F36</f>
        <v>155532530.87</v>
      </c>
    </row>
    <row r="33" spans="1:6" s="155" customFormat="1" x14ac:dyDescent="0.25">
      <c r="A33" s="530"/>
      <c r="B33" s="387" t="s">
        <v>13</v>
      </c>
      <c r="C33" s="389">
        <f>C25+C18+C9</f>
        <v>7062281</v>
      </c>
      <c r="D33" s="389">
        <f>D25+D18+D9</f>
        <v>7062281</v>
      </c>
      <c r="E33" s="389">
        <f>E25+E18+E9</f>
        <v>26505906.899999999</v>
      </c>
      <c r="F33" s="389">
        <f>F25+F18+F9</f>
        <v>26505906.899999999</v>
      </c>
    </row>
    <row r="34" spans="1:6" s="155" customFormat="1" x14ac:dyDescent="0.25">
      <c r="A34" s="530"/>
      <c r="B34" s="387" t="s">
        <v>438</v>
      </c>
      <c r="C34" s="389"/>
      <c r="D34" s="389"/>
      <c r="E34" s="391"/>
      <c r="F34" s="391"/>
    </row>
    <row r="35" spans="1:6" s="155" customFormat="1" ht="45" x14ac:dyDescent="0.25">
      <c r="A35" s="530"/>
      <c r="B35" s="387" t="s">
        <v>439</v>
      </c>
      <c r="C35" s="389">
        <f>C15+C22</f>
        <v>139180</v>
      </c>
      <c r="D35" s="389">
        <f>D15+D22</f>
        <v>139180</v>
      </c>
      <c r="E35" s="389">
        <f>E15+E22</f>
        <v>479094</v>
      </c>
      <c r="F35" s="389">
        <f>F15+F22</f>
        <v>479094</v>
      </c>
    </row>
    <row r="36" spans="1:6" s="155" customFormat="1" x14ac:dyDescent="0.25">
      <c r="A36" s="530"/>
      <c r="B36" s="392" t="s">
        <v>19</v>
      </c>
      <c r="C36" s="389">
        <f>C26+C19+C10</f>
        <v>86790833.450000003</v>
      </c>
      <c r="D36" s="389">
        <f>D26+D19+D10</f>
        <v>53628531.350000001</v>
      </c>
      <c r="E36" s="389">
        <f>E26+E19+E10</f>
        <v>165706928.44999999</v>
      </c>
      <c r="F36" s="389">
        <f>F26+F19+F10</f>
        <v>129026623.97</v>
      </c>
    </row>
    <row r="37" spans="1:6" x14ac:dyDescent="0.25">
      <c r="A37" s="530"/>
      <c r="B37" s="392"/>
      <c r="C37" s="397"/>
      <c r="D37" s="388"/>
      <c r="E37" s="391"/>
      <c r="F37" s="391"/>
    </row>
    <row r="38" spans="1:6" x14ac:dyDescent="0.25">
      <c r="A38" s="564" t="s">
        <v>142</v>
      </c>
      <c r="B38" s="564"/>
      <c r="C38" s="564"/>
      <c r="D38" s="564"/>
      <c r="E38" s="564"/>
      <c r="F38" s="564"/>
    </row>
    <row r="39" spans="1:6" ht="225" x14ac:dyDescent="0.25">
      <c r="A39" s="530">
        <v>4</v>
      </c>
      <c r="B39" s="384" t="s">
        <v>289</v>
      </c>
      <c r="C39" s="385">
        <f>C40+C41</f>
        <v>689163</v>
      </c>
      <c r="D39" s="385">
        <f>D40+D41</f>
        <v>689163</v>
      </c>
      <c r="E39" s="385">
        <f>E40+E41</f>
        <v>2176748</v>
      </c>
      <c r="F39" s="385">
        <f>F40+F41</f>
        <v>2153298</v>
      </c>
    </row>
    <row r="40" spans="1:6" s="155" customFormat="1" x14ac:dyDescent="0.25">
      <c r="A40" s="530"/>
      <c r="B40" s="387" t="s">
        <v>13</v>
      </c>
      <c r="C40" s="389">
        <v>664595</v>
      </c>
      <c r="D40" s="389">
        <v>664595</v>
      </c>
      <c r="E40" s="389">
        <f>C40+'2016'!E24+'2017'!E34+'2018'!E41</f>
        <v>2102940</v>
      </c>
      <c r="F40" s="389">
        <f>C40+'2016'!E24+'2017'!E34+'2018'!E41</f>
        <v>2102940</v>
      </c>
    </row>
    <row r="41" spans="1:6" s="155" customFormat="1" x14ac:dyDescent="0.25">
      <c r="A41" s="530"/>
      <c r="B41" s="392" t="s">
        <v>582</v>
      </c>
      <c r="C41" s="389">
        <v>24568</v>
      </c>
      <c r="D41" s="389">
        <v>24568</v>
      </c>
      <c r="E41" s="389">
        <f>C41+'2017'!E35+'2018'!E42</f>
        <v>73808</v>
      </c>
      <c r="F41" s="389">
        <f>D41+'2017'!F35+'2018'!F42</f>
        <v>50358</v>
      </c>
    </row>
    <row r="42" spans="1:6" s="155" customFormat="1" x14ac:dyDescent="0.25">
      <c r="A42" s="530"/>
      <c r="B42" s="381" t="s">
        <v>155</v>
      </c>
      <c r="C42" s="389"/>
      <c r="D42" s="389"/>
      <c r="E42" s="391"/>
      <c r="F42" s="391"/>
    </row>
    <row r="43" spans="1:6" s="155" customFormat="1" ht="45" x14ac:dyDescent="0.25">
      <c r="A43" s="530"/>
      <c r="B43" s="384" t="s">
        <v>440</v>
      </c>
      <c r="C43" s="385"/>
      <c r="D43" s="389"/>
      <c r="E43" s="385">
        <f>E44</f>
        <v>32325</v>
      </c>
      <c r="F43" s="385">
        <f>F44</f>
        <v>32325</v>
      </c>
    </row>
    <row r="44" spans="1:6" s="155" customFormat="1" x14ac:dyDescent="0.25">
      <c r="A44" s="530"/>
      <c r="B44" s="387" t="s">
        <v>13</v>
      </c>
      <c r="C44" s="389"/>
      <c r="D44" s="389"/>
      <c r="E44" s="389">
        <f>'2018'!E44</f>
        <v>32325</v>
      </c>
      <c r="F44" s="389">
        <f>'2018'!E45</f>
        <v>32325</v>
      </c>
    </row>
    <row r="45" spans="1:6" s="155" customFormat="1" ht="105" x14ac:dyDescent="0.25">
      <c r="A45" s="530"/>
      <c r="B45" s="384" t="s">
        <v>573</v>
      </c>
      <c r="C45" s="389"/>
      <c r="D45" s="389"/>
      <c r="E45" s="385">
        <f>E46+E47</f>
        <v>73450</v>
      </c>
      <c r="F45" s="385">
        <f>F46+F47</f>
        <v>50000</v>
      </c>
    </row>
    <row r="46" spans="1:6" s="155" customFormat="1" x14ac:dyDescent="0.25">
      <c r="A46" s="530"/>
      <c r="B46" s="387" t="s">
        <v>13</v>
      </c>
      <c r="C46" s="389"/>
      <c r="D46" s="389"/>
      <c r="E46" s="389">
        <f>'2017'!E38</f>
        <v>50000</v>
      </c>
      <c r="F46" s="389">
        <f>'2017'!E38</f>
        <v>50000</v>
      </c>
    </row>
    <row r="47" spans="1:6" s="155" customFormat="1" x14ac:dyDescent="0.25">
      <c r="A47" s="530"/>
      <c r="B47" s="392" t="s">
        <v>19</v>
      </c>
      <c r="C47" s="389"/>
      <c r="D47" s="389"/>
      <c r="E47" s="389">
        <f>'2017'!E39</f>
        <v>23450</v>
      </c>
      <c r="F47" s="389">
        <f>'2017'!F39</f>
        <v>0</v>
      </c>
    </row>
    <row r="48" spans="1:6" ht="45" x14ac:dyDescent="0.25">
      <c r="A48" s="530"/>
      <c r="B48" s="384" t="s">
        <v>441</v>
      </c>
      <c r="C48" s="386"/>
      <c r="D48" s="386"/>
      <c r="E48" s="385">
        <f>E49+E50</f>
        <v>75290</v>
      </c>
      <c r="F48" s="385">
        <f>F49+F50</f>
        <v>75290</v>
      </c>
    </row>
    <row r="49" spans="1:6" s="155" customFormat="1" x14ac:dyDescent="0.25">
      <c r="A49" s="530"/>
      <c r="B49" s="387" t="s">
        <v>13</v>
      </c>
      <c r="C49" s="389"/>
      <c r="D49" s="389"/>
      <c r="E49" s="389">
        <f>'2018'!E48</f>
        <v>49500</v>
      </c>
      <c r="F49" s="389">
        <f>'2018'!E48</f>
        <v>49500</v>
      </c>
    </row>
    <row r="50" spans="1:6" s="155" customFormat="1" x14ac:dyDescent="0.25">
      <c r="A50" s="530"/>
      <c r="B50" s="392" t="s">
        <v>582</v>
      </c>
      <c r="C50" s="389"/>
      <c r="D50" s="389"/>
      <c r="E50" s="389">
        <f>'2018'!E49</f>
        <v>25790</v>
      </c>
      <c r="F50" s="389">
        <f>'2018'!F49</f>
        <v>25790</v>
      </c>
    </row>
    <row r="51" spans="1:6" s="155" customFormat="1" ht="90" x14ac:dyDescent="0.25">
      <c r="A51" s="530"/>
      <c r="B51" s="384" t="s">
        <v>574</v>
      </c>
      <c r="C51" s="386">
        <f>C52+C53</f>
        <v>84823</v>
      </c>
      <c r="D51" s="386">
        <f>D52+D53</f>
        <v>84823</v>
      </c>
      <c r="E51" s="385">
        <f>E52+E53</f>
        <v>84823</v>
      </c>
      <c r="F51" s="385">
        <f>F52+F53</f>
        <v>84823</v>
      </c>
    </row>
    <row r="52" spans="1:6" s="155" customFormat="1" x14ac:dyDescent="0.25">
      <c r="A52" s="530"/>
      <c r="B52" s="387" t="s">
        <v>13</v>
      </c>
      <c r="C52" s="389">
        <v>60255</v>
      </c>
      <c r="D52" s="389">
        <v>60255</v>
      </c>
      <c r="E52" s="389">
        <f>C52</f>
        <v>60255</v>
      </c>
      <c r="F52" s="389">
        <f>C52</f>
        <v>60255</v>
      </c>
    </row>
    <row r="53" spans="1:6" s="155" customFormat="1" x14ac:dyDescent="0.25">
      <c r="A53" s="530"/>
      <c r="B53" s="392" t="s">
        <v>582</v>
      </c>
      <c r="C53" s="389">
        <v>24568</v>
      </c>
      <c r="D53" s="389">
        <v>24568</v>
      </c>
      <c r="E53" s="389">
        <v>24568</v>
      </c>
      <c r="F53" s="389">
        <f>C53</f>
        <v>24568</v>
      </c>
    </row>
    <row r="54" spans="1:6" ht="180" x14ac:dyDescent="0.25">
      <c r="A54" s="530">
        <v>5</v>
      </c>
      <c r="B54" s="384" t="s">
        <v>267</v>
      </c>
      <c r="C54" s="385">
        <f>C55</f>
        <v>592820</v>
      </c>
      <c r="D54" s="385">
        <f>D55</f>
        <v>592820</v>
      </c>
      <c r="E54" s="385">
        <f>E55</f>
        <v>3733615</v>
      </c>
      <c r="F54" s="385">
        <f>F55</f>
        <v>3733615</v>
      </c>
    </row>
    <row r="55" spans="1:6" s="155" customFormat="1" x14ac:dyDescent="0.25">
      <c r="A55" s="530"/>
      <c r="B55" s="387" t="s">
        <v>13</v>
      </c>
      <c r="C55" s="389">
        <v>592820</v>
      </c>
      <c r="D55" s="389">
        <v>592820</v>
      </c>
      <c r="E55" s="389">
        <f>C55+'2016'!E26+'2017'!E41+'2018'!E51</f>
        <v>3733615</v>
      </c>
      <c r="F55" s="389">
        <f>C55+'2016'!E26+'2017'!E41+'2018'!E51</f>
        <v>3733615</v>
      </c>
    </row>
    <row r="56" spans="1:6" s="155" customFormat="1" ht="75" x14ac:dyDescent="0.25">
      <c r="A56" s="530"/>
      <c r="B56" s="384" t="s">
        <v>442</v>
      </c>
      <c r="C56" s="385"/>
      <c r="D56" s="385"/>
      <c r="E56" s="386">
        <f>E57</f>
        <v>30025</v>
      </c>
      <c r="F56" s="386">
        <f>F57</f>
        <v>30025</v>
      </c>
    </row>
    <row r="57" spans="1:6" s="155" customFormat="1" x14ac:dyDescent="0.25">
      <c r="A57" s="530"/>
      <c r="B57" s="387" t="s">
        <v>13</v>
      </c>
      <c r="C57" s="389"/>
      <c r="D57" s="389"/>
      <c r="E57" s="389">
        <f>'2018'!E53</f>
        <v>30025</v>
      </c>
      <c r="F57" s="389">
        <f>'2018'!E53</f>
        <v>30025</v>
      </c>
    </row>
    <row r="58" spans="1:6" ht="120" x14ac:dyDescent="0.25">
      <c r="A58" s="530">
        <v>6</v>
      </c>
      <c r="B58" s="384" t="s">
        <v>283</v>
      </c>
      <c r="C58" s="385">
        <f>C59+C60</f>
        <v>3250743</v>
      </c>
      <c r="D58" s="385">
        <f>D59+D60</f>
        <v>3250743</v>
      </c>
      <c r="E58" s="385">
        <f>E59+E60</f>
        <v>10490157.1</v>
      </c>
      <c r="F58" s="385">
        <f>F59+F60</f>
        <v>10490157.1</v>
      </c>
    </row>
    <row r="59" spans="1:6" s="155" customFormat="1" x14ac:dyDescent="0.25">
      <c r="A59" s="530"/>
      <c r="B59" s="387" t="s">
        <v>13</v>
      </c>
      <c r="C59" s="389">
        <v>3170840</v>
      </c>
      <c r="D59" s="389">
        <v>3170840</v>
      </c>
      <c r="E59" s="389">
        <f>C59+'2016'!E28+'2017'!E43+'2018'!E55</f>
        <v>10330351.1</v>
      </c>
      <c r="F59" s="389">
        <f>C59+'2016'!E28+'2017'!E43+'2018'!E55</f>
        <v>10330351.1</v>
      </c>
    </row>
    <row r="60" spans="1:6" s="155" customFormat="1" x14ac:dyDescent="0.25">
      <c r="A60" s="530"/>
      <c r="B60" s="392" t="s">
        <v>582</v>
      </c>
      <c r="C60" s="389">
        <f>C64+C67</f>
        <v>79903</v>
      </c>
      <c r="D60" s="389">
        <f>D64+D67</f>
        <v>79903</v>
      </c>
      <c r="E60" s="389">
        <f>'2018'!E56+'2019'!E62</f>
        <v>159806</v>
      </c>
      <c r="F60" s="389">
        <f>D60+'2018'!F56</f>
        <v>159806</v>
      </c>
    </row>
    <row r="61" spans="1:6" s="155" customFormat="1" x14ac:dyDescent="0.25">
      <c r="A61" s="530"/>
      <c r="B61" s="398" t="s">
        <v>443</v>
      </c>
      <c r="C61" s="389"/>
      <c r="D61" s="389"/>
      <c r="E61" s="391"/>
      <c r="F61" s="391"/>
    </row>
    <row r="62" spans="1:6" s="155" customFormat="1" ht="60" x14ac:dyDescent="0.25">
      <c r="A62" s="530"/>
      <c r="B62" s="384" t="s">
        <v>444</v>
      </c>
      <c r="C62" s="385">
        <f>C63+C64</f>
        <v>101473</v>
      </c>
      <c r="D62" s="385">
        <f>D63+D64</f>
        <v>101473</v>
      </c>
      <c r="E62" s="385">
        <f>E63+E64</f>
        <v>180036</v>
      </c>
      <c r="F62" s="385">
        <f>F63+F64</f>
        <v>180036</v>
      </c>
    </row>
    <row r="63" spans="1:6" s="155" customFormat="1" x14ac:dyDescent="0.25">
      <c r="A63" s="530"/>
      <c r="B63" s="387" t="s">
        <v>13</v>
      </c>
      <c r="C63" s="389">
        <v>73400</v>
      </c>
      <c r="D63" s="389">
        <v>73400</v>
      </c>
      <c r="E63" s="389">
        <f>'2018'!E59+'2019'!E65</f>
        <v>123890</v>
      </c>
      <c r="F63" s="389">
        <f>C63+'2018'!E59</f>
        <v>123890</v>
      </c>
    </row>
    <row r="64" spans="1:6" s="155" customFormat="1" x14ac:dyDescent="0.25">
      <c r="A64" s="530"/>
      <c r="B64" s="392" t="s">
        <v>582</v>
      </c>
      <c r="C64" s="389">
        <v>28073</v>
      </c>
      <c r="D64" s="389">
        <v>28073</v>
      </c>
      <c r="E64" s="389">
        <f>C64+'2018'!E60</f>
        <v>56146</v>
      </c>
      <c r="F64" s="389">
        <f>D64+'2018'!F60</f>
        <v>56146</v>
      </c>
    </row>
    <row r="65" spans="1:6" s="155" customFormat="1" ht="60" x14ac:dyDescent="0.25">
      <c r="A65" s="530"/>
      <c r="B65" s="384" t="s">
        <v>446</v>
      </c>
      <c r="C65" s="385">
        <f>C66+C67</f>
        <v>182580</v>
      </c>
      <c r="D65" s="385">
        <f>D66+D67</f>
        <v>182580</v>
      </c>
      <c r="E65" s="385">
        <f>E66+E67</f>
        <v>325280</v>
      </c>
      <c r="F65" s="385">
        <f>F66+F67</f>
        <v>325280</v>
      </c>
    </row>
    <row r="66" spans="1:6" s="155" customFormat="1" x14ac:dyDescent="0.25">
      <c r="A66" s="530"/>
      <c r="B66" s="387" t="s">
        <v>13</v>
      </c>
      <c r="C66" s="389">
        <v>130750</v>
      </c>
      <c r="D66" s="389">
        <v>130750</v>
      </c>
      <c r="E66" s="389">
        <f>C66+'2018'!E62</f>
        <v>221620</v>
      </c>
      <c r="F66" s="389">
        <f>C66+'2018'!E62</f>
        <v>221620</v>
      </c>
    </row>
    <row r="67" spans="1:6" s="155" customFormat="1" x14ac:dyDescent="0.25">
      <c r="A67" s="530"/>
      <c r="B67" s="392" t="s">
        <v>582</v>
      </c>
      <c r="C67" s="389">
        <v>51830</v>
      </c>
      <c r="D67" s="389">
        <v>51830</v>
      </c>
      <c r="E67" s="389">
        <f>'2019'!E69+'2018'!E63</f>
        <v>103660</v>
      </c>
      <c r="F67" s="389">
        <f>C67+'2018'!E63</f>
        <v>103660</v>
      </c>
    </row>
    <row r="68" spans="1:6" ht="120" x14ac:dyDescent="0.25">
      <c r="A68" s="530">
        <v>7</v>
      </c>
      <c r="B68" s="384" t="s">
        <v>266</v>
      </c>
      <c r="C68" s="385">
        <f>C69</f>
        <v>827740</v>
      </c>
      <c r="D68" s="385">
        <f>D69</f>
        <v>827740</v>
      </c>
      <c r="E68" s="385">
        <f>E69</f>
        <v>2403040</v>
      </c>
      <c r="F68" s="385">
        <f>F69</f>
        <v>2403040</v>
      </c>
    </row>
    <row r="69" spans="1:6" s="155" customFormat="1" x14ac:dyDescent="0.25">
      <c r="A69" s="530"/>
      <c r="B69" s="387" t="s">
        <v>13</v>
      </c>
      <c r="C69" s="389">
        <v>827740</v>
      </c>
      <c r="D69" s="389">
        <v>827740</v>
      </c>
      <c r="E69" s="389">
        <f>C69+'2016'!E31+'2017'!E45+'2018'!E65</f>
        <v>2403040</v>
      </c>
      <c r="F69" s="389">
        <f>C69+'2016'!E31+'2017'!E45+'2018'!E65</f>
        <v>2403040</v>
      </c>
    </row>
    <row r="70" spans="1:6" ht="108" customHeight="1" x14ac:dyDescent="0.25">
      <c r="A70" s="530">
        <v>8</v>
      </c>
      <c r="B70" s="384" t="s">
        <v>265</v>
      </c>
      <c r="C70" s="385">
        <f>C71</f>
        <v>602000</v>
      </c>
      <c r="D70" s="385">
        <f>D71</f>
        <v>602000</v>
      </c>
      <c r="E70" s="385">
        <f>E71</f>
        <v>1702950</v>
      </c>
      <c r="F70" s="385">
        <f>F71</f>
        <v>1611000</v>
      </c>
    </row>
    <row r="71" spans="1:6" s="155" customFormat="1" x14ac:dyDescent="0.25">
      <c r="A71" s="530"/>
      <c r="B71" s="387" t="s">
        <v>13</v>
      </c>
      <c r="C71" s="389">
        <v>602000</v>
      </c>
      <c r="D71" s="389">
        <v>602000</v>
      </c>
      <c r="E71" s="389">
        <f>C71+'2016'!E33+'2017'!E47+'2018'!E67</f>
        <v>1702950</v>
      </c>
      <c r="F71" s="389">
        <f>C71+'2016'!F33+'2017'!E47+'2018'!E67</f>
        <v>1611000</v>
      </c>
    </row>
    <row r="72" spans="1:6" ht="45" x14ac:dyDescent="0.25">
      <c r="A72" s="530">
        <v>9</v>
      </c>
      <c r="B72" s="384" t="s">
        <v>264</v>
      </c>
      <c r="C72" s="385">
        <f>C73</f>
        <v>528000</v>
      </c>
      <c r="D72" s="385">
        <f>D73</f>
        <v>307256.15000000002</v>
      </c>
      <c r="E72" s="385">
        <f>E73</f>
        <v>3268000</v>
      </c>
      <c r="F72" s="385">
        <f>F73</f>
        <v>1253154.58</v>
      </c>
    </row>
    <row r="73" spans="1:6" s="155" customFormat="1" x14ac:dyDescent="0.25">
      <c r="A73" s="530"/>
      <c r="B73" s="392" t="s">
        <v>582</v>
      </c>
      <c r="C73" s="389">
        <v>528000</v>
      </c>
      <c r="D73" s="389">
        <v>307256.15000000002</v>
      </c>
      <c r="E73" s="389">
        <f>C73+'2016'!E35+'2017'!E49+'2018'!E69</f>
        <v>3268000</v>
      </c>
      <c r="F73" s="389">
        <f>D73+'2016'!F35+'2017'!F49+'2018'!F69</f>
        <v>1253154.58</v>
      </c>
    </row>
    <row r="74" spans="1:6" x14ac:dyDescent="0.25">
      <c r="A74" s="530"/>
      <c r="B74" s="394" t="s">
        <v>54</v>
      </c>
      <c r="C74" s="395">
        <f>C75+C78</f>
        <v>6490466</v>
      </c>
      <c r="D74" s="395">
        <f>D75+D78</f>
        <v>6269722.1500000004</v>
      </c>
      <c r="E74" s="395">
        <f>E75+E78</f>
        <v>23774510.100000001</v>
      </c>
      <c r="F74" s="395">
        <f>F75+F78</f>
        <v>21644264.68</v>
      </c>
    </row>
    <row r="75" spans="1:6" s="155" customFormat="1" x14ac:dyDescent="0.25">
      <c r="A75" s="530"/>
      <c r="B75" s="387" t="s">
        <v>13</v>
      </c>
      <c r="C75" s="389">
        <f>C71+C69+C59+C55+C40</f>
        <v>5857995</v>
      </c>
      <c r="D75" s="389">
        <f>D71+D69+D59+D55+D40</f>
        <v>5857995</v>
      </c>
      <c r="E75" s="389">
        <f>E71+E69+E59+E55+E40</f>
        <v>20272896.100000001</v>
      </c>
      <c r="F75" s="389">
        <f>F71+F69+F59+F55+F40</f>
        <v>20180946.100000001</v>
      </c>
    </row>
    <row r="76" spans="1:6" s="155" customFormat="1" x14ac:dyDescent="0.25">
      <c r="A76" s="530"/>
      <c r="B76" s="387" t="s">
        <v>438</v>
      </c>
      <c r="C76" s="389"/>
      <c r="D76" s="389"/>
      <c r="E76" s="391"/>
      <c r="F76" s="391"/>
    </row>
    <row r="77" spans="1:6" s="155" customFormat="1" ht="45" x14ac:dyDescent="0.25">
      <c r="A77" s="530"/>
      <c r="B77" s="387" t="s">
        <v>439</v>
      </c>
      <c r="C77" s="389">
        <f>C46+C49+C52+C63+C66</f>
        <v>264405</v>
      </c>
      <c r="D77" s="389">
        <f>D46+D49+D52+D63+D66</f>
        <v>264405</v>
      </c>
      <c r="E77" s="389">
        <f>E46+E49+E52+E63+E66</f>
        <v>505265</v>
      </c>
      <c r="F77" s="389">
        <f>F46+F49+F52+F63+F66</f>
        <v>505265</v>
      </c>
    </row>
    <row r="78" spans="1:6" s="155" customFormat="1" x14ac:dyDescent="0.25">
      <c r="A78" s="530"/>
      <c r="B78" s="392" t="s">
        <v>19</v>
      </c>
      <c r="C78" s="389">
        <f>C73+C41+C60</f>
        <v>632471</v>
      </c>
      <c r="D78" s="389">
        <f>D41+D60+D73</f>
        <v>411727.15</v>
      </c>
      <c r="E78" s="389">
        <f>E73+E41+E60</f>
        <v>3501614</v>
      </c>
      <c r="F78" s="389">
        <f>F41+F60+F73</f>
        <v>1463318.58</v>
      </c>
    </row>
    <row r="79" spans="1:6" x14ac:dyDescent="0.25">
      <c r="A79" s="530"/>
      <c r="B79" s="394" t="s">
        <v>73</v>
      </c>
      <c r="C79" s="395">
        <f>C80+C83</f>
        <v>100343580.45</v>
      </c>
      <c r="D79" s="395">
        <f>D80+D83</f>
        <v>66960534.5</v>
      </c>
      <c r="E79" s="395">
        <f>E80+E83</f>
        <v>215987345.44999999</v>
      </c>
      <c r="F79" s="395">
        <f>F80+F83</f>
        <v>177176795.55000001</v>
      </c>
    </row>
    <row r="80" spans="1:6" s="155" customFormat="1" x14ac:dyDescent="0.25">
      <c r="A80" s="530"/>
      <c r="B80" s="387" t="s">
        <v>13</v>
      </c>
      <c r="C80" s="389">
        <f>C75+C33</f>
        <v>12920276</v>
      </c>
      <c r="D80" s="389">
        <f>D75+D33</f>
        <v>12920276</v>
      </c>
      <c r="E80" s="389">
        <f>E75+E33</f>
        <v>46778803</v>
      </c>
      <c r="F80" s="389">
        <f>F75+F33</f>
        <v>46686853</v>
      </c>
    </row>
    <row r="81" spans="1:6" s="155" customFormat="1" x14ac:dyDescent="0.25">
      <c r="A81" s="530"/>
      <c r="B81" s="387" t="s">
        <v>438</v>
      </c>
      <c r="C81" s="389"/>
      <c r="D81" s="389"/>
      <c r="E81" s="391"/>
      <c r="F81" s="391"/>
    </row>
    <row r="82" spans="1:6" s="155" customFormat="1" ht="33" customHeight="1" x14ac:dyDescent="0.25">
      <c r="A82" s="530"/>
      <c r="B82" s="387" t="s">
        <v>439</v>
      </c>
      <c r="C82" s="389">
        <f t="shared" ref="C82:F83" si="0">C35+C77</f>
        <v>403585</v>
      </c>
      <c r="D82" s="389">
        <f t="shared" si="0"/>
        <v>403585</v>
      </c>
      <c r="E82" s="389">
        <f t="shared" si="0"/>
        <v>984359</v>
      </c>
      <c r="F82" s="389">
        <f t="shared" si="0"/>
        <v>984359</v>
      </c>
    </row>
    <row r="83" spans="1:6" s="155" customFormat="1" x14ac:dyDescent="0.25">
      <c r="A83" s="530"/>
      <c r="B83" s="387" t="s">
        <v>144</v>
      </c>
      <c r="C83" s="389">
        <f t="shared" si="0"/>
        <v>87423304.450000003</v>
      </c>
      <c r="D83" s="389">
        <f t="shared" si="0"/>
        <v>54040258.5</v>
      </c>
      <c r="E83" s="389">
        <f t="shared" si="0"/>
        <v>169208542.44999999</v>
      </c>
      <c r="F83" s="389">
        <f t="shared" si="0"/>
        <v>130489942.55</v>
      </c>
    </row>
    <row r="84" spans="1:6" x14ac:dyDescent="0.25">
      <c r="A84" s="530"/>
      <c r="B84" s="387"/>
      <c r="C84" s="530"/>
      <c r="D84" s="530"/>
      <c r="E84" s="531"/>
      <c r="F84" s="531"/>
    </row>
    <row r="85" spans="1:6" x14ac:dyDescent="0.25">
      <c r="A85" s="565" t="s">
        <v>304</v>
      </c>
      <c r="B85" s="565"/>
      <c r="C85" s="565"/>
      <c r="D85" s="565"/>
      <c r="E85" s="565"/>
      <c r="F85" s="565"/>
    </row>
    <row r="86" spans="1:6" x14ac:dyDescent="0.25">
      <c r="A86" s="564" t="s">
        <v>60</v>
      </c>
      <c r="B86" s="564"/>
      <c r="C86" s="564"/>
      <c r="D86" s="564"/>
      <c r="E86" s="564"/>
      <c r="F86" s="564"/>
    </row>
    <row r="87" spans="1:6" ht="45" x14ac:dyDescent="0.25">
      <c r="A87" s="530">
        <v>10</v>
      </c>
      <c r="B87" s="384" t="s">
        <v>447</v>
      </c>
      <c r="C87" s="385">
        <f>C88</f>
        <v>608700</v>
      </c>
      <c r="D87" s="385">
        <f>D88</f>
        <v>608700</v>
      </c>
      <c r="E87" s="385">
        <f>E88</f>
        <v>1783310</v>
      </c>
      <c r="F87" s="385">
        <f>F88</f>
        <v>1783310</v>
      </c>
    </row>
    <row r="88" spans="1:6" s="155" customFormat="1" x14ac:dyDescent="0.25">
      <c r="A88" s="530"/>
      <c r="B88" s="387" t="s">
        <v>621</v>
      </c>
      <c r="C88" s="389">
        <v>608700</v>
      </c>
      <c r="D88" s="389">
        <v>608700</v>
      </c>
      <c r="E88" s="389">
        <f>C88+'2016'!E46++'2017'!E60+'2018'!E84</f>
        <v>1783310</v>
      </c>
      <c r="F88" s="389">
        <f>C88+'2016'!E46+'2017'!E60+'2018'!E86</f>
        <v>1783310</v>
      </c>
    </row>
    <row r="89" spans="1:6" s="155" customFormat="1" ht="30" x14ac:dyDescent="0.25">
      <c r="A89" s="530"/>
      <c r="B89" s="387" t="s">
        <v>622</v>
      </c>
      <c r="C89" s="389"/>
      <c r="D89" s="389"/>
      <c r="E89" s="389">
        <v>800000</v>
      </c>
      <c r="F89" s="389">
        <v>800000</v>
      </c>
    </row>
    <row r="90" spans="1:6" x14ac:dyDescent="0.25">
      <c r="A90" s="530"/>
      <c r="B90" s="394" t="s">
        <v>54</v>
      </c>
      <c r="C90" s="395">
        <f>C87</f>
        <v>608700</v>
      </c>
      <c r="D90" s="395">
        <f>D87</f>
        <v>608700</v>
      </c>
      <c r="E90" s="395">
        <f>E91</f>
        <v>1783310</v>
      </c>
      <c r="F90" s="395">
        <f>F91</f>
        <v>1783310</v>
      </c>
    </row>
    <row r="91" spans="1:6" s="155" customFormat="1" x14ac:dyDescent="0.25">
      <c r="A91" s="530"/>
      <c r="B91" s="387" t="s">
        <v>621</v>
      </c>
      <c r="C91" s="389">
        <f>C88</f>
        <v>608700</v>
      </c>
      <c r="D91" s="389">
        <f>D88</f>
        <v>608700</v>
      </c>
      <c r="E91" s="389">
        <f>E88</f>
        <v>1783310</v>
      </c>
      <c r="F91" s="389">
        <f>F88</f>
        <v>1783310</v>
      </c>
    </row>
    <row r="92" spans="1:6" s="155" customFormat="1" ht="30" x14ac:dyDescent="0.25">
      <c r="A92" s="530"/>
      <c r="B92" s="387" t="s">
        <v>622</v>
      </c>
      <c r="C92" s="389"/>
      <c r="D92" s="389"/>
      <c r="E92" s="389">
        <v>800000</v>
      </c>
      <c r="F92" s="389">
        <v>800000</v>
      </c>
    </row>
    <row r="93" spans="1:6" x14ac:dyDescent="0.25">
      <c r="A93" s="564" t="s">
        <v>62</v>
      </c>
      <c r="B93" s="564"/>
      <c r="C93" s="564"/>
      <c r="D93" s="564"/>
      <c r="E93" s="564"/>
      <c r="F93" s="564"/>
    </row>
    <row r="94" spans="1:6" ht="45" x14ac:dyDescent="0.25">
      <c r="A94" s="530">
        <v>11</v>
      </c>
      <c r="B94" s="384" t="s">
        <v>63</v>
      </c>
      <c r="C94" s="385">
        <f>C95</f>
        <v>324613</v>
      </c>
      <c r="D94" s="385">
        <f>D95</f>
        <v>324613</v>
      </c>
      <c r="E94" s="385">
        <f>E95</f>
        <v>1460308.2</v>
      </c>
      <c r="F94" s="385">
        <f>F95</f>
        <v>1262308.2</v>
      </c>
    </row>
    <row r="95" spans="1:6" x14ac:dyDescent="0.25">
      <c r="A95" s="530"/>
      <c r="B95" s="387" t="s">
        <v>13</v>
      </c>
      <c r="C95" s="389">
        <v>324613</v>
      </c>
      <c r="D95" s="389">
        <v>324613</v>
      </c>
      <c r="E95" s="389">
        <f>C95+'2016'!E48+'2017'!E62+'2018'!E89</f>
        <v>1460308.2</v>
      </c>
      <c r="F95" s="389">
        <f>C95+252000+'2017'!E62+'2018'!E91</f>
        <v>1262308.2</v>
      </c>
    </row>
    <row r="96" spans="1:6" s="155" customFormat="1" ht="75" x14ac:dyDescent="0.25">
      <c r="A96" s="530">
        <v>12</v>
      </c>
      <c r="B96" s="384" t="s">
        <v>65</v>
      </c>
      <c r="C96" s="385">
        <f>C97</f>
        <v>77700</v>
      </c>
      <c r="D96" s="385">
        <f>D97</f>
        <v>77700</v>
      </c>
      <c r="E96" s="385">
        <f>E97</f>
        <v>876300</v>
      </c>
      <c r="F96" s="385">
        <f>F97</f>
        <v>876300</v>
      </c>
    </row>
    <row r="97" spans="1:6" s="155" customFormat="1" x14ac:dyDescent="0.25">
      <c r="A97" s="530"/>
      <c r="B97" s="387" t="s">
        <v>13</v>
      </c>
      <c r="C97" s="389">
        <v>77700</v>
      </c>
      <c r="D97" s="389">
        <v>77700</v>
      </c>
      <c r="E97" s="389">
        <f>C97+'2016'!E53+'2017'!E67</f>
        <v>876300</v>
      </c>
      <c r="F97" s="389">
        <f>D97+'2016'!E53+'2017'!E69</f>
        <v>876300</v>
      </c>
    </row>
    <row r="98" spans="1:6" s="155" customFormat="1" x14ac:dyDescent="0.25">
      <c r="A98" s="530"/>
      <c r="B98" s="394" t="s">
        <v>54</v>
      </c>
      <c r="C98" s="395">
        <f>C99</f>
        <v>402313</v>
      </c>
      <c r="D98" s="395">
        <f>D99</f>
        <v>402313</v>
      </c>
      <c r="E98" s="395">
        <f>E99</f>
        <v>2336608.2000000002</v>
      </c>
      <c r="F98" s="395">
        <f>F99</f>
        <v>2138608.2000000002</v>
      </c>
    </row>
    <row r="99" spans="1:6" s="155" customFormat="1" x14ac:dyDescent="0.25">
      <c r="A99" s="530"/>
      <c r="B99" s="387" t="s">
        <v>13</v>
      </c>
      <c r="C99" s="389">
        <f>C97+C95</f>
        <v>402313</v>
      </c>
      <c r="D99" s="389">
        <f>D97+D95</f>
        <v>402313</v>
      </c>
      <c r="E99" s="389">
        <f>E97+E95</f>
        <v>2336608.2000000002</v>
      </c>
      <c r="F99" s="389">
        <f>F97+F95</f>
        <v>2138608.2000000002</v>
      </c>
    </row>
    <row r="100" spans="1:6" x14ac:dyDescent="0.25">
      <c r="A100" s="564" t="s">
        <v>64</v>
      </c>
      <c r="B100" s="564"/>
      <c r="C100" s="564"/>
      <c r="D100" s="564"/>
      <c r="E100" s="564"/>
      <c r="F100" s="564"/>
    </row>
    <row r="101" spans="1:6" ht="45" x14ac:dyDescent="0.25">
      <c r="A101" s="530">
        <v>13</v>
      </c>
      <c r="B101" s="384" t="s">
        <v>66</v>
      </c>
      <c r="C101" s="385">
        <f>C102</f>
        <v>24000</v>
      </c>
      <c r="D101" s="385">
        <f>D102</f>
        <v>24790.15</v>
      </c>
      <c r="E101" s="385">
        <f>E102</f>
        <v>91000</v>
      </c>
      <c r="F101" s="385">
        <f>F102</f>
        <v>93600.260000000009</v>
      </c>
    </row>
    <row r="102" spans="1:6" s="155" customFormat="1" x14ac:dyDescent="0.25">
      <c r="A102" s="530"/>
      <c r="B102" s="387" t="s">
        <v>53</v>
      </c>
      <c r="C102" s="389">
        <v>24000</v>
      </c>
      <c r="D102" s="389">
        <v>24790.15</v>
      </c>
      <c r="E102" s="389">
        <f>C102+'2016'!E58+'2017'!E72+'2018'!E94</f>
        <v>91000</v>
      </c>
      <c r="F102" s="389">
        <f>D102+'2016'!F58+'2017'!F72+'2018'!F94</f>
        <v>93600.260000000009</v>
      </c>
    </row>
    <row r="103" spans="1:6" x14ac:dyDescent="0.25">
      <c r="A103" s="530"/>
      <c r="B103" s="394" t="s">
        <v>54</v>
      </c>
      <c r="C103" s="395">
        <f>C101</f>
        <v>24000</v>
      </c>
      <c r="D103" s="395">
        <f>D101</f>
        <v>24790.15</v>
      </c>
      <c r="E103" s="395">
        <f>E104</f>
        <v>91000</v>
      </c>
      <c r="F103" s="395">
        <f>F104</f>
        <v>93600.260000000009</v>
      </c>
    </row>
    <row r="104" spans="1:6" s="155" customFormat="1" x14ac:dyDescent="0.25">
      <c r="A104" s="530"/>
      <c r="B104" s="387" t="s">
        <v>53</v>
      </c>
      <c r="C104" s="389">
        <f>C102</f>
        <v>24000</v>
      </c>
      <c r="D104" s="389">
        <f>D102</f>
        <v>24790.15</v>
      </c>
      <c r="E104" s="389">
        <f>E102</f>
        <v>91000</v>
      </c>
      <c r="F104" s="389">
        <f>F102</f>
        <v>93600.260000000009</v>
      </c>
    </row>
    <row r="105" spans="1:6" x14ac:dyDescent="0.25">
      <c r="A105" s="564" t="s">
        <v>67</v>
      </c>
      <c r="B105" s="564"/>
      <c r="C105" s="564"/>
      <c r="D105" s="564"/>
      <c r="E105" s="564"/>
      <c r="F105" s="564"/>
    </row>
    <row r="106" spans="1:6" ht="48.75" customHeight="1" x14ac:dyDescent="0.25">
      <c r="A106" s="530">
        <v>14</v>
      </c>
      <c r="B106" s="384" t="s">
        <v>523</v>
      </c>
      <c r="C106" s="530"/>
      <c r="D106" s="530"/>
      <c r="E106" s="385">
        <f>E107</f>
        <v>11500</v>
      </c>
      <c r="F106" s="385">
        <f>F107</f>
        <v>11500</v>
      </c>
    </row>
    <row r="107" spans="1:6" x14ac:dyDescent="0.25">
      <c r="A107" s="530"/>
      <c r="B107" s="387" t="s">
        <v>13</v>
      </c>
      <c r="C107" s="530"/>
      <c r="D107" s="530"/>
      <c r="E107" s="389">
        <f>'2017'!E77</f>
        <v>11500</v>
      </c>
      <c r="F107" s="389">
        <f>'2017'!E77</f>
        <v>11500</v>
      </c>
    </row>
    <row r="108" spans="1:6" ht="96.75" customHeight="1" x14ac:dyDescent="0.25">
      <c r="A108" s="530">
        <v>15</v>
      </c>
      <c r="B108" s="384" t="s">
        <v>68</v>
      </c>
      <c r="C108" s="385">
        <f>C109</f>
        <v>120593</v>
      </c>
      <c r="D108" s="385">
        <f>D109</f>
        <v>120593</v>
      </c>
      <c r="E108" s="385">
        <f>E109</f>
        <v>833903</v>
      </c>
      <c r="F108" s="385">
        <f>F109</f>
        <v>668323.83000000007</v>
      </c>
    </row>
    <row r="109" spans="1:6" s="155" customFormat="1" x14ac:dyDescent="0.25">
      <c r="A109" s="530"/>
      <c r="B109" s="387" t="s">
        <v>13</v>
      </c>
      <c r="C109" s="389">
        <v>120593</v>
      </c>
      <c r="D109" s="389">
        <v>120593</v>
      </c>
      <c r="E109" s="389">
        <f>C109+'2016'!E63+'2017'!E79+'2018'!E99</f>
        <v>833903</v>
      </c>
      <c r="F109" s="389">
        <f>306420.83+'2017'!E79+'2018'!E99+C109</f>
        <v>668323.83000000007</v>
      </c>
    </row>
    <row r="110" spans="1:6" x14ac:dyDescent="0.25">
      <c r="A110" s="530"/>
      <c r="B110" s="394" t="s">
        <v>54</v>
      </c>
      <c r="C110" s="395">
        <f>C111</f>
        <v>120593</v>
      </c>
      <c r="D110" s="395">
        <f>D111</f>
        <v>120593</v>
      </c>
      <c r="E110" s="395">
        <f>E111</f>
        <v>845403</v>
      </c>
      <c r="F110" s="395">
        <f>F111</f>
        <v>679823.83000000007</v>
      </c>
    </row>
    <row r="111" spans="1:6" s="155" customFormat="1" x14ac:dyDescent="0.25">
      <c r="A111" s="530"/>
      <c r="B111" s="387" t="s">
        <v>13</v>
      </c>
      <c r="C111" s="389">
        <f>C109+C107</f>
        <v>120593</v>
      </c>
      <c r="D111" s="389">
        <f>D109+D107</f>
        <v>120593</v>
      </c>
      <c r="E111" s="389">
        <f>E109+E107</f>
        <v>845403</v>
      </c>
      <c r="F111" s="389">
        <f>F109+F107</f>
        <v>679823.83000000007</v>
      </c>
    </row>
    <row r="112" spans="1:6" x14ac:dyDescent="0.25">
      <c r="A112" s="564" t="s">
        <v>69</v>
      </c>
      <c r="B112" s="564"/>
      <c r="C112" s="564"/>
      <c r="D112" s="564"/>
      <c r="E112" s="564"/>
      <c r="F112" s="564"/>
    </row>
    <row r="113" spans="1:6" ht="45" x14ac:dyDescent="0.25">
      <c r="A113" s="530">
        <v>16</v>
      </c>
      <c r="B113" s="384" t="s">
        <v>70</v>
      </c>
      <c r="C113" s="385">
        <f>C114</f>
        <v>10000</v>
      </c>
      <c r="D113" s="385">
        <f>D114</f>
        <v>10000</v>
      </c>
      <c r="E113" s="385">
        <f>E114</f>
        <v>37500</v>
      </c>
      <c r="F113" s="385">
        <f>F114</f>
        <v>37500</v>
      </c>
    </row>
    <row r="114" spans="1:6" s="155" customFormat="1" x14ac:dyDescent="0.25">
      <c r="A114" s="530"/>
      <c r="B114" s="387" t="s">
        <v>13</v>
      </c>
      <c r="C114" s="389">
        <v>10000</v>
      </c>
      <c r="D114" s="389">
        <v>10000</v>
      </c>
      <c r="E114" s="389">
        <f>C114+'2016'!E68+'2017'!E84+'2018'!E104</f>
        <v>37500</v>
      </c>
      <c r="F114" s="389">
        <f>D114+'2016'!E68+'2017'!E84+'2018'!E104</f>
        <v>37500</v>
      </c>
    </row>
    <row r="115" spans="1:6" ht="45" x14ac:dyDescent="0.25">
      <c r="A115" s="530">
        <v>17</v>
      </c>
      <c r="B115" s="384" t="s">
        <v>71</v>
      </c>
      <c r="C115" s="385">
        <f>C116</f>
        <v>11050</v>
      </c>
      <c r="D115" s="385">
        <f>D116</f>
        <v>11050</v>
      </c>
      <c r="E115" s="385">
        <f>E116</f>
        <v>46151.9</v>
      </c>
      <c r="F115" s="385">
        <f>F116</f>
        <v>46151.9</v>
      </c>
    </row>
    <row r="116" spans="1:6" s="155" customFormat="1" x14ac:dyDescent="0.25">
      <c r="A116" s="530"/>
      <c r="B116" s="387" t="s">
        <v>13</v>
      </c>
      <c r="C116" s="389">
        <v>11050</v>
      </c>
      <c r="D116" s="389">
        <v>11050</v>
      </c>
      <c r="E116" s="389">
        <f>C116+'2016'!E70+'2017'!E86+'2018'!E106</f>
        <v>46151.9</v>
      </c>
      <c r="F116" s="389">
        <f>D116+'2016'!E70+'2017'!E86+'2018'!E106</f>
        <v>46151.9</v>
      </c>
    </row>
    <row r="117" spans="1:6" ht="150" x14ac:dyDescent="0.25">
      <c r="A117" s="530">
        <v>18</v>
      </c>
      <c r="B117" s="384" t="s">
        <v>72</v>
      </c>
      <c r="C117" s="385">
        <f>C118</f>
        <v>10000</v>
      </c>
      <c r="D117" s="385">
        <f>D118</f>
        <v>10000</v>
      </c>
      <c r="E117" s="385">
        <f>E118</f>
        <v>43500</v>
      </c>
      <c r="F117" s="385">
        <f>F118</f>
        <v>43500</v>
      </c>
    </row>
    <row r="118" spans="1:6" s="155" customFormat="1" x14ac:dyDescent="0.25">
      <c r="A118" s="530"/>
      <c r="B118" s="387" t="s">
        <v>13</v>
      </c>
      <c r="C118" s="389">
        <v>10000</v>
      </c>
      <c r="D118" s="389">
        <v>10000</v>
      </c>
      <c r="E118" s="389">
        <f>C118+'2016'!E72+'2017'!E88+'2018'!E108</f>
        <v>43500</v>
      </c>
      <c r="F118" s="389">
        <f>D118+'2016'!E72+'2017'!E88+'2018'!E108</f>
        <v>43500</v>
      </c>
    </row>
    <row r="119" spans="1:6" x14ac:dyDescent="0.25">
      <c r="A119" s="530"/>
      <c r="B119" s="394" t="s">
        <v>54</v>
      </c>
      <c r="C119" s="395">
        <f t="shared" ref="C119:F120" si="1">C113+C115+C117</f>
        <v>31050</v>
      </c>
      <c r="D119" s="395">
        <f t="shared" si="1"/>
        <v>31050</v>
      </c>
      <c r="E119" s="395">
        <f t="shared" si="1"/>
        <v>127151.9</v>
      </c>
      <c r="F119" s="395">
        <f t="shared" si="1"/>
        <v>127151.9</v>
      </c>
    </row>
    <row r="120" spans="1:6" s="155" customFormat="1" x14ac:dyDescent="0.25">
      <c r="A120" s="530"/>
      <c r="B120" s="387" t="s">
        <v>13</v>
      </c>
      <c r="C120" s="389">
        <f t="shared" si="1"/>
        <v>31050</v>
      </c>
      <c r="D120" s="389">
        <f t="shared" si="1"/>
        <v>31050</v>
      </c>
      <c r="E120" s="389">
        <f t="shared" si="1"/>
        <v>127151.9</v>
      </c>
      <c r="F120" s="389">
        <f t="shared" si="1"/>
        <v>127151.9</v>
      </c>
    </row>
    <row r="121" spans="1:6" x14ac:dyDescent="0.25">
      <c r="A121" s="564" t="s">
        <v>35</v>
      </c>
      <c r="B121" s="564"/>
      <c r="C121" s="564"/>
      <c r="D121" s="564"/>
      <c r="E121" s="564"/>
      <c r="F121" s="564"/>
    </row>
    <row r="122" spans="1:6" ht="90" x14ac:dyDescent="0.25">
      <c r="A122" s="530">
        <v>19</v>
      </c>
      <c r="B122" s="384" t="s">
        <v>448</v>
      </c>
      <c r="C122" s="385"/>
      <c r="D122" s="385"/>
      <c r="E122" s="385">
        <f>E123</f>
        <v>23656</v>
      </c>
      <c r="F122" s="385">
        <f>F123</f>
        <v>23656</v>
      </c>
    </row>
    <row r="123" spans="1:6" x14ac:dyDescent="0.25">
      <c r="A123" s="530"/>
      <c r="B123" s="387" t="s">
        <v>13</v>
      </c>
      <c r="C123" s="389"/>
      <c r="D123" s="389"/>
      <c r="E123" s="389">
        <f>'2018'!E113</f>
        <v>23656</v>
      </c>
      <c r="F123" s="389">
        <f>'2018'!E112</f>
        <v>23656</v>
      </c>
    </row>
    <row r="124" spans="1:6" ht="45" x14ac:dyDescent="0.25">
      <c r="A124" s="530">
        <v>20</v>
      </c>
      <c r="B124" s="384" t="s">
        <v>46</v>
      </c>
      <c r="C124" s="385">
        <v>5000</v>
      </c>
      <c r="D124" s="385">
        <f>D125</f>
        <v>5000</v>
      </c>
      <c r="E124" s="385">
        <f>E125</f>
        <v>20000</v>
      </c>
      <c r="F124" s="385">
        <f>F125</f>
        <v>20000</v>
      </c>
    </row>
    <row r="125" spans="1:6" s="155" customFormat="1" x14ac:dyDescent="0.25">
      <c r="A125" s="530"/>
      <c r="B125" s="387" t="s">
        <v>13</v>
      </c>
      <c r="C125" s="389">
        <v>5000</v>
      </c>
      <c r="D125" s="389">
        <v>5000</v>
      </c>
      <c r="E125" s="389">
        <f>C125+'2016'!E77+'2017'!E93+'2018'!E115</f>
        <v>20000</v>
      </c>
      <c r="F125" s="389">
        <f>'2016'!E77+'2017'!E93+'2018'!E115+'Форма 7'!C124</f>
        <v>20000</v>
      </c>
    </row>
    <row r="126" spans="1:6" s="155" customFormat="1" ht="45" x14ac:dyDescent="0.25">
      <c r="A126" s="530">
        <v>21</v>
      </c>
      <c r="B126" s="384" t="s">
        <v>339</v>
      </c>
      <c r="C126" s="389"/>
      <c r="D126" s="389"/>
      <c r="E126" s="385">
        <f>E127</f>
        <v>25000</v>
      </c>
      <c r="F126" s="385">
        <f>F127</f>
        <v>25000</v>
      </c>
    </row>
    <row r="127" spans="1:6" s="155" customFormat="1" x14ac:dyDescent="0.25">
      <c r="A127" s="530"/>
      <c r="B127" s="387" t="s">
        <v>13</v>
      </c>
      <c r="C127" s="389"/>
      <c r="D127" s="389"/>
      <c r="E127" s="389">
        <f>'2016'!E79</f>
        <v>25000</v>
      </c>
      <c r="F127" s="389">
        <f>'2016'!E79</f>
        <v>25000</v>
      </c>
    </row>
    <row r="128" spans="1:6" s="155" customFormat="1" ht="30" x14ac:dyDescent="0.25">
      <c r="A128" s="530">
        <v>22</v>
      </c>
      <c r="B128" s="384" t="s">
        <v>524</v>
      </c>
      <c r="C128" s="385">
        <f>C129</f>
        <v>10000</v>
      </c>
      <c r="D128" s="385">
        <f>D129</f>
        <v>10000</v>
      </c>
      <c r="E128" s="385">
        <f t="shared" ref="E128:F128" si="2">E129</f>
        <v>20000</v>
      </c>
      <c r="F128" s="385">
        <f t="shared" si="2"/>
        <v>20000</v>
      </c>
    </row>
    <row r="129" spans="1:6" s="155" customFormat="1" x14ac:dyDescent="0.25">
      <c r="A129" s="530"/>
      <c r="B129" s="387" t="s">
        <v>13</v>
      </c>
      <c r="C129" s="389">
        <v>10000</v>
      </c>
      <c r="D129" s="389">
        <v>10000</v>
      </c>
      <c r="E129" s="389">
        <f>C129+'2017'!E95</f>
        <v>20000</v>
      </c>
      <c r="F129" s="389">
        <f>D129+'2017'!E95</f>
        <v>20000</v>
      </c>
    </row>
    <row r="130" spans="1:6" s="155" customFormat="1" ht="60" x14ac:dyDescent="0.25">
      <c r="A130" s="530">
        <v>23</v>
      </c>
      <c r="B130" s="384" t="s">
        <v>341</v>
      </c>
      <c r="C130" s="389"/>
      <c r="D130" s="389"/>
      <c r="E130" s="385">
        <f t="shared" ref="E130:F130" si="3">E131</f>
        <v>11870</v>
      </c>
      <c r="F130" s="385">
        <f t="shared" si="3"/>
        <v>11870</v>
      </c>
    </row>
    <row r="131" spans="1:6" s="155" customFormat="1" x14ac:dyDescent="0.25">
      <c r="A131" s="530"/>
      <c r="B131" s="387" t="s">
        <v>13</v>
      </c>
      <c r="C131" s="389"/>
      <c r="D131" s="389"/>
      <c r="E131" s="389">
        <f>'2016'!E81</f>
        <v>11870</v>
      </c>
      <c r="F131" s="389">
        <f>'2016'!E81</f>
        <v>11870</v>
      </c>
    </row>
    <row r="132" spans="1:6" s="155" customFormat="1" ht="60" x14ac:dyDescent="0.25">
      <c r="A132" s="530">
        <v>24</v>
      </c>
      <c r="B132" s="384" t="s">
        <v>576</v>
      </c>
      <c r="C132" s="385">
        <f>C133</f>
        <v>55500</v>
      </c>
      <c r="D132" s="385">
        <f>D133</f>
        <v>55500</v>
      </c>
      <c r="E132" s="385">
        <f>E133</f>
        <v>55500</v>
      </c>
      <c r="F132" s="385">
        <f>F133</f>
        <v>55500</v>
      </c>
    </row>
    <row r="133" spans="1:6" s="155" customFormat="1" x14ac:dyDescent="0.25">
      <c r="A133" s="530"/>
      <c r="B133" s="387" t="s">
        <v>13</v>
      </c>
      <c r="C133" s="389">
        <v>55500</v>
      </c>
      <c r="D133" s="389">
        <v>55500</v>
      </c>
      <c r="E133" s="389">
        <f>C133</f>
        <v>55500</v>
      </c>
      <c r="F133" s="389">
        <f>C133</f>
        <v>55500</v>
      </c>
    </row>
    <row r="134" spans="1:6" ht="45" x14ac:dyDescent="0.25">
      <c r="A134" s="530">
        <v>25</v>
      </c>
      <c r="B134" s="384" t="s">
        <v>275</v>
      </c>
      <c r="C134" s="385">
        <f>C135</f>
        <v>47539</v>
      </c>
      <c r="D134" s="385">
        <f>D135</f>
        <v>47539</v>
      </c>
      <c r="E134" s="385">
        <f>E135</f>
        <v>143539</v>
      </c>
      <c r="F134" s="385">
        <f>F135</f>
        <v>143539</v>
      </c>
    </row>
    <row r="135" spans="1:6" s="155" customFormat="1" x14ac:dyDescent="0.25">
      <c r="A135" s="530"/>
      <c r="B135" s="387" t="s">
        <v>13</v>
      </c>
      <c r="C135" s="389">
        <v>47539</v>
      </c>
      <c r="D135" s="389">
        <v>47539</v>
      </c>
      <c r="E135" s="389">
        <f>C135+'2017'!E97+'2018'!E117</f>
        <v>143539</v>
      </c>
      <c r="F135" s="389">
        <f>C135+'2017'!E97+'2018'!E117</f>
        <v>143539</v>
      </c>
    </row>
    <row r="136" spans="1:6" ht="60" x14ac:dyDescent="0.25">
      <c r="A136" s="530">
        <v>26</v>
      </c>
      <c r="B136" s="384" t="s">
        <v>276</v>
      </c>
      <c r="C136" s="385"/>
      <c r="D136" s="385"/>
      <c r="E136" s="385">
        <f>E137</f>
        <v>67200</v>
      </c>
      <c r="F136" s="385">
        <f>F137</f>
        <v>67200</v>
      </c>
    </row>
    <row r="137" spans="1:6" s="155" customFormat="1" x14ac:dyDescent="0.25">
      <c r="A137" s="530"/>
      <c r="B137" s="387" t="s">
        <v>13</v>
      </c>
      <c r="C137" s="389"/>
      <c r="D137" s="389"/>
      <c r="E137" s="389">
        <f>'2017'!E99+'2018'!E119</f>
        <v>67200</v>
      </c>
      <c r="F137" s="389">
        <f>'2017'!E99+'2018'!E119</f>
        <v>67200</v>
      </c>
    </row>
    <row r="138" spans="1:6" ht="30" x14ac:dyDescent="0.25">
      <c r="A138" s="530">
        <v>27</v>
      </c>
      <c r="B138" s="384" t="s">
        <v>47</v>
      </c>
      <c r="C138" s="385">
        <f>C139</f>
        <v>62005</v>
      </c>
      <c r="D138" s="385">
        <f>D139</f>
        <v>62005</v>
      </c>
      <c r="E138" s="385">
        <f>E139</f>
        <v>217673.2</v>
      </c>
      <c r="F138" s="385">
        <f>F139</f>
        <v>214680.04</v>
      </c>
    </row>
    <row r="139" spans="1:6" s="155" customFormat="1" x14ac:dyDescent="0.25">
      <c r="A139" s="530"/>
      <c r="B139" s="387" t="s">
        <v>13</v>
      </c>
      <c r="C139" s="389">
        <v>62005</v>
      </c>
      <c r="D139" s="389">
        <v>62005</v>
      </c>
      <c r="E139" s="389">
        <f>C139+'2016'!E83+'2017'!E101+'2018'!E121</f>
        <v>217673.2</v>
      </c>
      <c r="F139" s="389">
        <f>46418.04+'2017'!E101+'2018'!E121+D139</f>
        <v>214680.04</v>
      </c>
    </row>
    <row r="140" spans="1:6" ht="90" x14ac:dyDescent="0.25">
      <c r="A140" s="530">
        <v>28</v>
      </c>
      <c r="B140" s="384" t="s">
        <v>49</v>
      </c>
      <c r="C140" s="385">
        <f>C141</f>
        <v>34000</v>
      </c>
      <c r="D140" s="385">
        <f>D141</f>
        <v>34000</v>
      </c>
      <c r="E140" s="385">
        <f>E141</f>
        <v>110000</v>
      </c>
      <c r="F140" s="385">
        <f>F141</f>
        <v>110000</v>
      </c>
    </row>
    <row r="141" spans="1:6" s="155" customFormat="1" x14ac:dyDescent="0.25">
      <c r="A141" s="530"/>
      <c r="B141" s="387" t="s">
        <v>13</v>
      </c>
      <c r="C141" s="389">
        <v>34000</v>
      </c>
      <c r="D141" s="389">
        <v>34000</v>
      </c>
      <c r="E141" s="389">
        <f>C141+'2016'!E85+'2017'!E103+'2018'!E123</f>
        <v>110000</v>
      </c>
      <c r="F141" s="389">
        <f>D141+'2016'!E85+'2017'!E103+'2018'!E123</f>
        <v>110000</v>
      </c>
    </row>
    <row r="142" spans="1:6" ht="60" x14ac:dyDescent="0.25">
      <c r="A142" s="530">
        <v>29</v>
      </c>
      <c r="B142" s="384" t="s">
        <v>51</v>
      </c>
      <c r="C142" s="385"/>
      <c r="D142" s="385"/>
      <c r="E142" s="385">
        <f>E143+E144</f>
        <v>83500</v>
      </c>
      <c r="F142" s="385">
        <f>F143+F144</f>
        <v>142500</v>
      </c>
    </row>
    <row r="143" spans="1:6" s="155" customFormat="1" x14ac:dyDescent="0.25">
      <c r="A143" s="530"/>
      <c r="B143" s="387" t="s">
        <v>13</v>
      </c>
      <c r="C143" s="389"/>
      <c r="D143" s="389"/>
      <c r="E143" s="389">
        <f>'2016'!E87+'2017'!E105+'2018'!E125</f>
        <v>83500</v>
      </c>
      <c r="F143" s="389">
        <f>D143+'2016'!E87+'2017'!E105+'2018'!E125</f>
        <v>83500</v>
      </c>
    </row>
    <row r="144" spans="1:6" s="155" customFormat="1" x14ac:dyDescent="0.25">
      <c r="A144" s="530"/>
      <c r="B144" s="387" t="s">
        <v>53</v>
      </c>
      <c r="C144" s="389"/>
      <c r="D144" s="389"/>
      <c r="E144" s="389">
        <f>'2016'!E88+'2017'!E106+'2018'!E129</f>
        <v>0</v>
      </c>
      <c r="F144" s="389">
        <f>'2016'!F88+'2017'!F106+'2018'!F129</f>
        <v>59000</v>
      </c>
    </row>
    <row r="145" spans="1:6" x14ac:dyDescent="0.25">
      <c r="A145" s="530"/>
      <c r="B145" s="394" t="s">
        <v>54</v>
      </c>
      <c r="C145" s="395">
        <f>C146</f>
        <v>214044</v>
      </c>
      <c r="D145" s="395">
        <f>D146</f>
        <v>214044</v>
      </c>
      <c r="E145" s="395">
        <f>E146+E147</f>
        <v>777938.2</v>
      </c>
      <c r="F145" s="395">
        <f>F146+F147</f>
        <v>833945.04</v>
      </c>
    </row>
    <row r="146" spans="1:6" x14ac:dyDescent="0.25">
      <c r="A146" s="530"/>
      <c r="B146" s="387" t="s">
        <v>13</v>
      </c>
      <c r="C146" s="389">
        <f>C123+C125+C127+C129+C131+C133+C135+C137+C139+C141+C143</f>
        <v>214044</v>
      </c>
      <c r="D146" s="389">
        <f>D123+D125+D127+D129+D131+D133+D135+D137+D139+D141+D143</f>
        <v>214044</v>
      </c>
      <c r="E146" s="389">
        <f>E123+E125+E127+E129+E131+E133+E135+E137+E139+E141+E143</f>
        <v>777938.2</v>
      </c>
      <c r="F146" s="389">
        <f>F123+F125+F127+F129+F131+F133+F135+F137+F139+F141+F143</f>
        <v>774945.04</v>
      </c>
    </row>
    <row r="147" spans="1:6" s="155" customFormat="1" x14ac:dyDescent="0.25">
      <c r="A147" s="530"/>
      <c r="B147" s="387" t="s">
        <v>324</v>
      </c>
      <c r="C147" s="389"/>
      <c r="D147" s="389"/>
      <c r="E147" s="389">
        <f>E144</f>
        <v>0</v>
      </c>
      <c r="F147" s="389">
        <f>F144</f>
        <v>59000</v>
      </c>
    </row>
    <row r="148" spans="1:6" x14ac:dyDescent="0.25">
      <c r="A148" s="564" t="s">
        <v>55</v>
      </c>
      <c r="B148" s="564"/>
      <c r="C148" s="564"/>
      <c r="D148" s="564"/>
      <c r="E148" s="564"/>
      <c r="F148" s="564"/>
    </row>
    <row r="149" spans="1:6" ht="45" x14ac:dyDescent="0.25">
      <c r="A149" s="530">
        <v>30</v>
      </c>
      <c r="B149" s="384" t="s">
        <v>56</v>
      </c>
      <c r="C149" s="401"/>
      <c r="D149" s="401"/>
      <c r="E149" s="385">
        <f>E150</f>
        <v>198475.28999999998</v>
      </c>
      <c r="F149" s="385">
        <f>F150</f>
        <v>198475.28999999998</v>
      </c>
    </row>
    <row r="150" spans="1:6" s="155" customFormat="1" x14ac:dyDescent="0.25">
      <c r="A150" s="530"/>
      <c r="B150" s="387" t="s">
        <v>13</v>
      </c>
      <c r="C150" s="404"/>
      <c r="D150" s="404"/>
      <c r="E150" s="389">
        <f>'2016'!E94+'2017'!E112+'2018'!E132</f>
        <v>198475.28999999998</v>
      </c>
      <c r="F150" s="389">
        <f>'2016'!E94+'2017'!E112+'2018'!E132</f>
        <v>198475.28999999998</v>
      </c>
    </row>
    <row r="151" spans="1:6" ht="60" x14ac:dyDescent="0.25">
      <c r="A151" s="530">
        <v>31</v>
      </c>
      <c r="B151" s="384" t="s">
        <v>277</v>
      </c>
      <c r="C151" s="401"/>
      <c r="D151" s="401"/>
      <c r="E151" s="385">
        <f>E152</f>
        <v>65521.51</v>
      </c>
      <c r="F151" s="385">
        <f>F152</f>
        <v>65521.51</v>
      </c>
    </row>
    <row r="152" spans="1:6" s="155" customFormat="1" x14ac:dyDescent="0.25">
      <c r="A152" s="530"/>
      <c r="B152" s="387" t="s">
        <v>13</v>
      </c>
      <c r="C152" s="404"/>
      <c r="D152" s="404"/>
      <c r="E152" s="389">
        <f>'2017'!E114+'2018'!E134</f>
        <v>65521.51</v>
      </c>
      <c r="F152" s="389">
        <f>'2017'!E114+'2018'!E134</f>
        <v>65521.51</v>
      </c>
    </row>
    <row r="153" spans="1:6" x14ac:dyDescent="0.25">
      <c r="A153" s="530"/>
      <c r="B153" s="394" t="s">
        <v>54</v>
      </c>
      <c r="C153" s="406"/>
      <c r="D153" s="406"/>
      <c r="E153" s="395">
        <f>E154</f>
        <v>263996.79999999999</v>
      </c>
      <c r="F153" s="395">
        <f>F154</f>
        <v>263996.79999999999</v>
      </c>
    </row>
    <row r="154" spans="1:6" s="155" customFormat="1" x14ac:dyDescent="0.25">
      <c r="A154" s="530"/>
      <c r="B154" s="387" t="s">
        <v>13</v>
      </c>
      <c r="C154" s="404"/>
      <c r="D154" s="404"/>
      <c r="E154" s="389">
        <f>E152+E150</f>
        <v>263996.79999999999</v>
      </c>
      <c r="F154" s="389">
        <f>F152+F150</f>
        <v>263996.79999999999</v>
      </c>
    </row>
    <row r="155" spans="1:6" x14ac:dyDescent="0.25">
      <c r="A155" s="564" t="s">
        <v>58</v>
      </c>
      <c r="B155" s="564"/>
      <c r="C155" s="564"/>
      <c r="D155" s="564"/>
      <c r="E155" s="564"/>
      <c r="F155" s="564"/>
    </row>
    <row r="156" spans="1:6" ht="45" x14ac:dyDescent="0.25">
      <c r="A156" s="530">
        <v>32</v>
      </c>
      <c r="B156" s="384" t="s">
        <v>345</v>
      </c>
      <c r="C156" s="530"/>
      <c r="D156" s="530"/>
      <c r="E156" s="385">
        <f>E157</f>
        <v>30000</v>
      </c>
      <c r="F156" s="385">
        <f>F157</f>
        <v>30000</v>
      </c>
    </row>
    <row r="157" spans="1:6" x14ac:dyDescent="0.25">
      <c r="A157" s="530"/>
      <c r="B157" s="387" t="s">
        <v>13</v>
      </c>
      <c r="C157" s="530"/>
      <c r="D157" s="530"/>
      <c r="E157" s="389">
        <f>'2016'!E99</f>
        <v>30000</v>
      </c>
      <c r="F157" s="389">
        <f>'2016'!E99</f>
        <v>30000</v>
      </c>
    </row>
    <row r="158" spans="1:6" ht="30" x14ac:dyDescent="0.25">
      <c r="A158" s="530">
        <v>33</v>
      </c>
      <c r="B158" s="384" t="s">
        <v>59</v>
      </c>
      <c r="C158" s="530"/>
      <c r="D158" s="530"/>
      <c r="E158" s="385">
        <f>E159</f>
        <v>39950</v>
      </c>
      <c r="F158" s="385">
        <f>F159</f>
        <v>39950</v>
      </c>
    </row>
    <row r="159" spans="1:6" x14ac:dyDescent="0.25">
      <c r="A159" s="530"/>
      <c r="B159" s="387" t="s">
        <v>13</v>
      </c>
      <c r="C159" s="530"/>
      <c r="D159" s="530"/>
      <c r="E159" s="389">
        <f>'2016'!E101+'2017'!E119</f>
        <v>39950</v>
      </c>
      <c r="F159" s="389">
        <f>'2016'!E101+'2017'!E119</f>
        <v>39950</v>
      </c>
    </row>
    <row r="160" spans="1:6" ht="45" x14ac:dyDescent="0.25">
      <c r="A160" s="530">
        <v>34</v>
      </c>
      <c r="B160" s="384" t="s">
        <v>527</v>
      </c>
      <c r="C160" s="530"/>
      <c r="D160" s="530"/>
      <c r="E160" s="385">
        <f>E161</f>
        <v>15000</v>
      </c>
      <c r="F160" s="385">
        <f>F161</f>
        <v>15000</v>
      </c>
    </row>
    <row r="161" spans="1:6" x14ac:dyDescent="0.25">
      <c r="A161" s="530"/>
      <c r="B161" s="387" t="s">
        <v>13</v>
      </c>
      <c r="C161" s="530"/>
      <c r="D161" s="530"/>
      <c r="E161" s="389">
        <f>'2017'!E121</f>
        <v>15000</v>
      </c>
      <c r="F161" s="389">
        <f>'2017'!E121</f>
        <v>15000</v>
      </c>
    </row>
    <row r="162" spans="1:6" ht="45" x14ac:dyDescent="0.25">
      <c r="A162" s="530">
        <v>35</v>
      </c>
      <c r="B162" s="384" t="s">
        <v>278</v>
      </c>
      <c r="C162" s="401">
        <f>C163</f>
        <v>55000</v>
      </c>
      <c r="D162" s="401">
        <f>D163</f>
        <v>55000</v>
      </c>
      <c r="E162" s="385">
        <f>E163</f>
        <v>89960</v>
      </c>
      <c r="F162" s="385">
        <f>F163</f>
        <v>89960</v>
      </c>
    </row>
    <row r="163" spans="1:6" s="155" customFormat="1" x14ac:dyDescent="0.25">
      <c r="A163" s="530"/>
      <c r="B163" s="387" t="s">
        <v>13</v>
      </c>
      <c r="C163" s="404">
        <v>55000</v>
      </c>
      <c r="D163" s="404">
        <v>55000</v>
      </c>
      <c r="E163" s="389">
        <f>C163+'2017'!E123+'2018'!E139</f>
        <v>89960</v>
      </c>
      <c r="F163" s="389">
        <f>'2017'!E123+'2018'!E139+'2019'!E165</f>
        <v>89960</v>
      </c>
    </row>
    <row r="164" spans="1:6" s="155" customFormat="1" ht="30" x14ac:dyDescent="0.25">
      <c r="A164" s="530">
        <v>36</v>
      </c>
      <c r="B164" s="384" t="s">
        <v>580</v>
      </c>
      <c r="C164" s="401">
        <f>C165</f>
        <v>115000</v>
      </c>
      <c r="D164" s="401">
        <f>D165</f>
        <v>115000</v>
      </c>
      <c r="E164" s="385">
        <f>E165</f>
        <v>115000</v>
      </c>
      <c r="F164" s="385">
        <f>F165</f>
        <v>115000</v>
      </c>
    </row>
    <row r="165" spans="1:6" s="155" customFormat="1" x14ac:dyDescent="0.25">
      <c r="A165" s="530"/>
      <c r="B165" s="387" t="s">
        <v>13</v>
      </c>
      <c r="C165" s="404">
        <v>115000</v>
      </c>
      <c r="D165" s="404">
        <v>115000</v>
      </c>
      <c r="E165" s="389">
        <f>C165</f>
        <v>115000</v>
      </c>
      <c r="F165" s="389">
        <f>D165</f>
        <v>115000</v>
      </c>
    </row>
    <row r="166" spans="1:6" x14ac:dyDescent="0.25">
      <c r="A166" s="530"/>
      <c r="B166" s="394" t="s">
        <v>54</v>
      </c>
      <c r="C166" s="406">
        <f>C167</f>
        <v>170000</v>
      </c>
      <c r="D166" s="406">
        <f>D167</f>
        <v>170000</v>
      </c>
      <c r="E166" s="406">
        <f>E167</f>
        <v>289910</v>
      </c>
      <c r="F166" s="406">
        <f>F167</f>
        <v>289910</v>
      </c>
    </row>
    <row r="167" spans="1:6" s="155" customFormat="1" x14ac:dyDescent="0.25">
      <c r="A167" s="530"/>
      <c r="B167" s="387" t="s">
        <v>13</v>
      </c>
      <c r="C167" s="404">
        <f>C157+C159+C161+C163+C165</f>
        <v>170000</v>
      </c>
      <c r="D167" s="404">
        <f>D157+D159+D161+D163+D165</f>
        <v>170000</v>
      </c>
      <c r="E167" s="404">
        <f>E157+E159+E161+E163+E165</f>
        <v>289910</v>
      </c>
      <c r="F167" s="404">
        <f>F157+F159+F161+F163+F165</f>
        <v>289910</v>
      </c>
    </row>
    <row r="168" spans="1:6" ht="78" customHeight="1" x14ac:dyDescent="0.25">
      <c r="A168" s="530">
        <v>37</v>
      </c>
      <c r="B168" s="384" t="s">
        <v>451</v>
      </c>
      <c r="C168" s="401">
        <f>C169</f>
        <v>16229006</v>
      </c>
      <c r="D168" s="401">
        <f>D169</f>
        <v>16432579.109999999</v>
      </c>
      <c r="E168" s="385">
        <f>E169</f>
        <v>53534587.600000001</v>
      </c>
      <c r="F168" s="385">
        <f>F169</f>
        <v>51047901.759999998</v>
      </c>
    </row>
    <row r="169" spans="1:6" s="155" customFormat="1" x14ac:dyDescent="0.25">
      <c r="A169" s="530"/>
      <c r="B169" s="387" t="s">
        <v>13</v>
      </c>
      <c r="C169" s="404">
        <v>16229006</v>
      </c>
      <c r="D169" s="404">
        <v>16432579.109999999</v>
      </c>
      <c r="E169" s="404">
        <f>C169+'2016'!E105+'2017'!E127+'2018'!E143</f>
        <v>53534587.600000001</v>
      </c>
      <c r="F169" s="404">
        <v>51047901.759999998</v>
      </c>
    </row>
    <row r="170" spans="1:6" x14ac:dyDescent="0.25">
      <c r="A170" s="530"/>
      <c r="B170" s="394" t="s">
        <v>73</v>
      </c>
      <c r="C170" s="406">
        <f>C171+C172</f>
        <v>17799706</v>
      </c>
      <c r="D170" s="406">
        <f>D171+D172</f>
        <v>18004069.259999998</v>
      </c>
      <c r="E170" s="406">
        <f>E171+E172</f>
        <v>60049905.700000003</v>
      </c>
      <c r="F170" s="406">
        <f>F171+F172</f>
        <v>57258247.789999999</v>
      </c>
    </row>
    <row r="171" spans="1:6" s="155" customFormat="1" x14ac:dyDescent="0.25">
      <c r="A171" s="530"/>
      <c r="B171" s="387" t="s">
        <v>13</v>
      </c>
      <c r="C171" s="404">
        <f>C91+C99+C111+C120+C146+C154+C167+C169</f>
        <v>17775706</v>
      </c>
      <c r="D171" s="404">
        <f>D91+D99+D111+D120+D146+D154+D167+D169</f>
        <v>17979279.109999999</v>
      </c>
      <c r="E171" s="404">
        <f>E91+E99+E111+E120+E146+E154+E167+E169</f>
        <v>59958905.700000003</v>
      </c>
      <c r="F171" s="404">
        <f>F91+F99+F111+F120+F146+F154+F167+F169</f>
        <v>57105647.530000001</v>
      </c>
    </row>
    <row r="172" spans="1:6" s="155" customFormat="1" x14ac:dyDescent="0.25">
      <c r="A172" s="530"/>
      <c r="B172" s="387" t="s">
        <v>53</v>
      </c>
      <c r="C172" s="404">
        <f>C104+C147</f>
        <v>24000</v>
      </c>
      <c r="D172" s="404">
        <f>D104+D147</f>
        <v>24790.15</v>
      </c>
      <c r="E172" s="404">
        <f>E104+E147</f>
        <v>91000</v>
      </c>
      <c r="F172" s="404">
        <f>F104+F147</f>
        <v>152600.26</v>
      </c>
    </row>
    <row r="173" spans="1:6" ht="8.25" customHeight="1" x14ac:dyDescent="0.25">
      <c r="A173" s="530"/>
      <c r="B173" s="387"/>
      <c r="C173" s="388"/>
      <c r="D173" s="388"/>
      <c r="E173" s="410"/>
      <c r="F173" s="410"/>
    </row>
    <row r="174" spans="1:6" x14ac:dyDescent="0.25">
      <c r="A174" s="565" t="s">
        <v>305</v>
      </c>
      <c r="B174" s="565"/>
      <c r="C174" s="565"/>
      <c r="D174" s="565"/>
      <c r="E174" s="565"/>
      <c r="F174" s="565"/>
    </row>
    <row r="175" spans="1:6" x14ac:dyDescent="0.25">
      <c r="A175" s="564" t="s">
        <v>284</v>
      </c>
      <c r="B175" s="564"/>
      <c r="C175" s="564"/>
      <c r="D175" s="564"/>
      <c r="E175" s="564"/>
      <c r="F175" s="564"/>
    </row>
    <row r="176" spans="1:6" ht="75" x14ac:dyDescent="0.25">
      <c r="A176" s="530">
        <v>38</v>
      </c>
      <c r="B176" s="384" t="s">
        <v>454</v>
      </c>
      <c r="C176" s="401"/>
      <c r="D176" s="401"/>
      <c r="E176" s="385">
        <f>E177</f>
        <v>20000</v>
      </c>
      <c r="F176" s="385">
        <f>F177</f>
        <v>20000</v>
      </c>
    </row>
    <row r="177" spans="1:6" x14ac:dyDescent="0.25">
      <c r="A177" s="530"/>
      <c r="B177" s="387" t="s">
        <v>13</v>
      </c>
      <c r="C177" s="404"/>
      <c r="D177" s="404"/>
      <c r="E177" s="389">
        <f>'2017'!E135+'2018'!E151</f>
        <v>20000</v>
      </c>
      <c r="F177" s="389">
        <f>'2017'!E135+'2018'!E151</f>
        <v>20000</v>
      </c>
    </row>
    <row r="178" spans="1:6" x14ac:dyDescent="0.25">
      <c r="A178" s="530"/>
      <c r="B178" s="394" t="s">
        <v>54</v>
      </c>
      <c r="C178" s="406"/>
      <c r="D178" s="406"/>
      <c r="E178" s="406">
        <f>E179</f>
        <v>20000</v>
      </c>
      <c r="F178" s="406">
        <f>F179</f>
        <v>20000</v>
      </c>
    </row>
    <row r="179" spans="1:6" s="155" customFormat="1" x14ac:dyDescent="0.25">
      <c r="A179" s="530"/>
      <c r="B179" s="387" t="s">
        <v>13</v>
      </c>
      <c r="C179" s="404">
        <f>C177</f>
        <v>0</v>
      </c>
      <c r="D179" s="404">
        <f>D177</f>
        <v>0</v>
      </c>
      <c r="E179" s="404">
        <f>E177</f>
        <v>20000</v>
      </c>
      <c r="F179" s="404">
        <f>F177</f>
        <v>20000</v>
      </c>
    </row>
    <row r="180" spans="1:6" x14ac:dyDescent="0.25">
      <c r="A180" s="564" t="s">
        <v>12</v>
      </c>
      <c r="B180" s="564"/>
      <c r="C180" s="564"/>
      <c r="D180" s="564"/>
      <c r="E180" s="564"/>
      <c r="F180" s="564"/>
    </row>
    <row r="181" spans="1:6" ht="180" x14ac:dyDescent="0.25">
      <c r="A181" s="530">
        <v>39</v>
      </c>
      <c r="B181" s="384" t="s">
        <v>455</v>
      </c>
      <c r="C181" s="401">
        <f>C182</f>
        <v>10500</v>
      </c>
      <c r="D181" s="401">
        <f>D182</f>
        <v>10500</v>
      </c>
      <c r="E181" s="385">
        <f>E182</f>
        <v>41906</v>
      </c>
      <c r="F181" s="385">
        <f>F182</f>
        <v>41906</v>
      </c>
    </row>
    <row r="182" spans="1:6" s="155" customFormat="1" x14ac:dyDescent="0.25">
      <c r="A182" s="530"/>
      <c r="B182" s="387" t="s">
        <v>13</v>
      </c>
      <c r="C182" s="389">
        <v>10500</v>
      </c>
      <c r="D182" s="389">
        <v>10500</v>
      </c>
      <c r="E182" s="389">
        <f>C182+'2016'!E113+'2017'!E140+'2018'!E156</f>
        <v>41906</v>
      </c>
      <c r="F182" s="389">
        <f>C182+'2016'!E113+'2017'!E140+'2018'!E156</f>
        <v>41906</v>
      </c>
    </row>
    <row r="183" spans="1:6" ht="90" x14ac:dyDescent="0.25">
      <c r="A183" s="530">
        <v>40</v>
      </c>
      <c r="B183" s="384" t="s">
        <v>37</v>
      </c>
      <c r="C183" s="401">
        <f>C184</f>
        <v>10000</v>
      </c>
      <c r="D183" s="401">
        <f>D184</f>
        <v>10000</v>
      </c>
      <c r="E183" s="385">
        <f>E184</f>
        <v>38300</v>
      </c>
      <c r="F183" s="385">
        <f>F184</f>
        <v>38300</v>
      </c>
    </row>
    <row r="184" spans="1:6" s="155" customFormat="1" x14ac:dyDescent="0.25">
      <c r="A184" s="530"/>
      <c r="B184" s="387" t="s">
        <v>13</v>
      </c>
      <c r="C184" s="389">
        <v>10000</v>
      </c>
      <c r="D184" s="389">
        <v>10000</v>
      </c>
      <c r="E184" s="389">
        <f>C184+'2016'!E115+'2017'!E142+'2018'!E158</f>
        <v>38300</v>
      </c>
      <c r="F184" s="389">
        <f>C184+'2016'!E115+'2017'!E142+'2018'!E158</f>
        <v>38300</v>
      </c>
    </row>
    <row r="185" spans="1:6" s="155" customFormat="1" ht="150" x14ac:dyDescent="0.25">
      <c r="A185" s="530">
        <v>41</v>
      </c>
      <c r="B185" s="384" t="s">
        <v>348</v>
      </c>
      <c r="C185" s="389"/>
      <c r="D185" s="389"/>
      <c r="E185" s="385">
        <v>0</v>
      </c>
      <c r="F185" s="385">
        <v>0</v>
      </c>
    </row>
    <row r="186" spans="1:6" s="155" customFormat="1" x14ac:dyDescent="0.25">
      <c r="A186" s="530"/>
      <c r="B186" s="387" t="s">
        <v>19</v>
      </c>
      <c r="C186" s="389"/>
      <c r="D186" s="389"/>
      <c r="E186" s="389">
        <v>0</v>
      </c>
      <c r="F186" s="389">
        <v>0</v>
      </c>
    </row>
    <row r="187" spans="1:6" x14ac:dyDescent="0.25">
      <c r="A187" s="530"/>
      <c r="B187" s="394" t="s">
        <v>54</v>
      </c>
      <c r="C187" s="395">
        <f>C182+C184</f>
        <v>20500</v>
      </c>
      <c r="D187" s="395">
        <f>D182+D184</f>
        <v>20500</v>
      </c>
      <c r="E187" s="395">
        <f>E188+E189</f>
        <v>80206</v>
      </c>
      <c r="F187" s="395">
        <f>F188+F189</f>
        <v>80206</v>
      </c>
    </row>
    <row r="188" spans="1:6" s="155" customFormat="1" x14ac:dyDescent="0.25">
      <c r="A188" s="530"/>
      <c r="B188" s="387" t="s">
        <v>13</v>
      </c>
      <c r="C188" s="389">
        <f>C184+C182</f>
        <v>20500</v>
      </c>
      <c r="D188" s="389">
        <f>D184+D182</f>
        <v>20500</v>
      </c>
      <c r="E188" s="389">
        <f>E184+E182</f>
        <v>80206</v>
      </c>
      <c r="F188" s="389">
        <f>F184+F182</f>
        <v>80206</v>
      </c>
    </row>
    <row r="189" spans="1:6" s="155" customFormat="1" x14ac:dyDescent="0.25">
      <c r="A189" s="530"/>
      <c r="B189" s="387" t="s">
        <v>19</v>
      </c>
      <c r="C189" s="389"/>
      <c r="D189" s="389"/>
      <c r="E189" s="389">
        <f>E186</f>
        <v>0</v>
      </c>
      <c r="F189" s="389">
        <f>F186</f>
        <v>0</v>
      </c>
    </row>
    <row r="190" spans="1:6" x14ac:dyDescent="0.25">
      <c r="A190" s="564" t="s">
        <v>20</v>
      </c>
      <c r="B190" s="564"/>
      <c r="C190" s="564"/>
      <c r="D190" s="564"/>
      <c r="E190" s="564"/>
      <c r="F190" s="564"/>
    </row>
    <row r="191" spans="1:6" ht="75" x14ac:dyDescent="0.25">
      <c r="A191" s="530">
        <v>42</v>
      </c>
      <c r="B191" s="384" t="s">
        <v>286</v>
      </c>
      <c r="C191" s="401">
        <f>C192</f>
        <v>40200</v>
      </c>
      <c r="D191" s="401">
        <f>D192</f>
        <v>39770</v>
      </c>
      <c r="E191" s="401">
        <f>E192</f>
        <v>710539</v>
      </c>
      <c r="F191" s="401">
        <f>F192</f>
        <v>710109</v>
      </c>
    </row>
    <row r="192" spans="1:6" s="155" customFormat="1" x14ac:dyDescent="0.25">
      <c r="A192" s="530"/>
      <c r="B192" s="387" t="s">
        <v>27</v>
      </c>
      <c r="C192" s="389">
        <f>C193+C194+C195</f>
        <v>40200</v>
      </c>
      <c r="D192" s="389">
        <f>D193+D194+D195</f>
        <v>39770</v>
      </c>
      <c r="E192" s="389">
        <f>E193+E194+E195</f>
        <v>710539</v>
      </c>
      <c r="F192" s="389">
        <f>F193+F194+F195</f>
        <v>710109</v>
      </c>
    </row>
    <row r="193" spans="1:24" ht="53.25" customHeight="1" x14ac:dyDescent="0.25">
      <c r="A193" s="530"/>
      <c r="B193" s="384" t="s">
        <v>29</v>
      </c>
      <c r="C193" s="385"/>
      <c r="D193" s="385"/>
      <c r="E193" s="385">
        <f>'2017'!E148</f>
        <v>5000</v>
      </c>
      <c r="F193" s="385">
        <v>5000</v>
      </c>
    </row>
    <row r="194" spans="1:24" x14ac:dyDescent="0.25">
      <c r="A194" s="530"/>
      <c r="B194" s="384" t="s">
        <v>31</v>
      </c>
      <c r="C194" s="385"/>
      <c r="D194" s="385"/>
      <c r="E194" s="385">
        <f>'2017'!E149</f>
        <v>352448</v>
      </c>
      <c r="F194" s="385">
        <f>'2017'!E149</f>
        <v>352448</v>
      </c>
    </row>
    <row r="195" spans="1:24" x14ac:dyDescent="0.25">
      <c r="A195" s="530"/>
      <c r="B195" s="384" t="s">
        <v>32</v>
      </c>
      <c r="C195" s="385">
        <v>40200</v>
      </c>
      <c r="D195" s="385">
        <v>39770</v>
      </c>
      <c r="E195" s="385">
        <f>'2019'!E197+'2017'!E150+'2018'!E166</f>
        <v>353091</v>
      </c>
      <c r="F195" s="385">
        <v>352661</v>
      </c>
    </row>
    <row r="196" spans="1:24" ht="45" x14ac:dyDescent="0.25">
      <c r="A196" s="530">
        <v>43</v>
      </c>
      <c r="B196" s="384" t="s">
        <v>456</v>
      </c>
      <c r="C196" s="385"/>
      <c r="D196" s="385"/>
      <c r="E196" s="401">
        <f>E197</f>
        <v>750000</v>
      </c>
      <c r="F196" s="401">
        <f>F197</f>
        <v>739561.09000000008</v>
      </c>
    </row>
    <row r="197" spans="1:24" x14ac:dyDescent="0.25">
      <c r="A197" s="530"/>
      <c r="B197" s="387" t="s">
        <v>22</v>
      </c>
      <c r="C197" s="389"/>
      <c r="D197" s="389"/>
      <c r="E197" s="389">
        <f>'2016'!E123+'2018'!E168</f>
        <v>750000</v>
      </c>
      <c r="F197" s="389">
        <f>'2018'!E168+'2016'!F123</f>
        <v>739561.09000000008</v>
      </c>
    </row>
    <row r="198" spans="1:24" x14ac:dyDescent="0.25">
      <c r="A198" s="530"/>
      <c r="B198" s="394" t="s">
        <v>54</v>
      </c>
      <c r="C198" s="396">
        <f>C199</f>
        <v>40200</v>
      </c>
      <c r="D198" s="396">
        <f>D199</f>
        <v>39770</v>
      </c>
      <c r="E198" s="396">
        <f>E199</f>
        <v>1460539</v>
      </c>
      <c r="F198" s="396">
        <f>F199</f>
        <v>1449670.09</v>
      </c>
    </row>
    <row r="199" spans="1:24" s="155" customFormat="1" x14ac:dyDescent="0.25">
      <c r="A199" s="530"/>
      <c r="B199" s="387" t="s">
        <v>22</v>
      </c>
      <c r="C199" s="390">
        <f>C192+C197</f>
        <v>40200</v>
      </c>
      <c r="D199" s="390">
        <f>D192+D197</f>
        <v>39770</v>
      </c>
      <c r="E199" s="389">
        <f>E197+E192</f>
        <v>1460539</v>
      </c>
      <c r="F199" s="389">
        <f>F197+F192</f>
        <v>1449670.09</v>
      </c>
    </row>
    <row r="200" spans="1:24" x14ac:dyDescent="0.25">
      <c r="A200" s="564" t="s">
        <v>23</v>
      </c>
      <c r="B200" s="564"/>
      <c r="C200" s="564"/>
      <c r="D200" s="564"/>
      <c r="E200" s="564"/>
      <c r="F200" s="564"/>
    </row>
    <row r="201" spans="1:24" ht="75" x14ac:dyDescent="0.25">
      <c r="A201" s="530">
        <v>44</v>
      </c>
      <c r="B201" s="384" t="s">
        <v>288</v>
      </c>
      <c r="C201" s="530" t="s">
        <v>18</v>
      </c>
      <c r="D201" s="386"/>
      <c r="E201" s="531"/>
      <c r="F201" s="531"/>
    </row>
    <row r="202" spans="1:24" x14ac:dyDescent="0.25">
      <c r="A202" s="530"/>
      <c r="B202" s="387" t="s">
        <v>19</v>
      </c>
      <c r="C202" s="530"/>
      <c r="D202" s="530"/>
      <c r="E202" s="531"/>
      <c r="F202" s="531"/>
    </row>
    <row r="203" spans="1:24" s="472" customFormat="1" ht="46.5" customHeight="1" x14ac:dyDescent="0.25">
      <c r="A203" s="495">
        <v>45</v>
      </c>
      <c r="B203" s="434" t="s">
        <v>584</v>
      </c>
      <c r="C203" s="495" t="s">
        <v>18</v>
      </c>
      <c r="D203" s="507">
        <f>D205</f>
        <v>86440</v>
      </c>
      <c r="E203" s="498"/>
      <c r="F203" s="507">
        <f>F205</f>
        <v>86440</v>
      </c>
      <c r="G203" s="504"/>
      <c r="H203" s="504"/>
      <c r="I203" s="504"/>
      <c r="J203" s="504"/>
      <c r="K203" s="504"/>
      <c r="L203" s="504"/>
      <c r="M203" s="504"/>
      <c r="N203" s="504"/>
      <c r="O203" s="504"/>
      <c r="P203" s="504"/>
      <c r="Q203" s="504"/>
      <c r="R203" s="504"/>
      <c r="S203" s="504"/>
      <c r="T203" s="504"/>
      <c r="U203" s="504"/>
      <c r="V203" s="504"/>
      <c r="W203" s="504"/>
      <c r="X203" s="504"/>
    </row>
    <row r="204" spans="1:24" s="472" customFormat="1" ht="15" customHeight="1" x14ac:dyDescent="0.25">
      <c r="A204" s="495"/>
      <c r="B204" s="505" t="s">
        <v>22</v>
      </c>
      <c r="C204" s="495"/>
      <c r="D204" s="495"/>
      <c r="E204" s="498"/>
      <c r="F204" s="498"/>
      <c r="G204" s="504"/>
      <c r="H204" s="504"/>
      <c r="I204" s="504"/>
      <c r="J204" s="504"/>
      <c r="K204" s="504"/>
      <c r="L204" s="504"/>
      <c r="M204" s="504"/>
      <c r="N204" s="504"/>
      <c r="O204" s="504"/>
      <c r="P204" s="504"/>
      <c r="Q204" s="504"/>
      <c r="R204" s="504"/>
      <c r="S204" s="504"/>
      <c r="T204" s="504"/>
      <c r="U204" s="504"/>
      <c r="V204" s="504"/>
      <c r="W204" s="504"/>
      <c r="X204" s="504"/>
    </row>
    <row r="205" spans="1:24" x14ac:dyDescent="0.25">
      <c r="A205" s="495"/>
      <c r="B205" s="505" t="s">
        <v>19</v>
      </c>
      <c r="C205" s="495"/>
      <c r="D205" s="390">
        <v>86440</v>
      </c>
      <c r="E205" s="498"/>
      <c r="F205" s="390">
        <f>D205</f>
        <v>86440</v>
      </c>
      <c r="G205" s="504"/>
      <c r="H205" s="504"/>
      <c r="I205" s="504"/>
      <c r="J205" s="504"/>
      <c r="K205" s="504"/>
      <c r="L205" s="504"/>
      <c r="M205" s="504"/>
      <c r="N205" s="504"/>
      <c r="O205" s="504"/>
      <c r="P205" s="504"/>
      <c r="Q205" s="504"/>
      <c r="R205" s="504"/>
      <c r="S205" s="504"/>
      <c r="T205" s="504"/>
      <c r="U205" s="504"/>
      <c r="V205" s="504"/>
      <c r="W205" s="504"/>
      <c r="X205" s="504"/>
    </row>
    <row r="206" spans="1:24" s="472" customFormat="1" x14ac:dyDescent="0.25">
      <c r="A206" s="495"/>
      <c r="B206" s="506" t="s">
        <v>54</v>
      </c>
      <c r="C206" s="495"/>
      <c r="D206" s="508">
        <f>D207+D208</f>
        <v>86440</v>
      </c>
      <c r="E206" s="498"/>
      <c r="F206" s="508">
        <f>F207+F208</f>
        <v>86440</v>
      </c>
      <c r="G206" s="504"/>
      <c r="H206" s="504"/>
      <c r="I206" s="504"/>
      <c r="J206" s="504"/>
      <c r="K206" s="504"/>
      <c r="L206" s="504"/>
      <c r="M206" s="504"/>
      <c r="N206" s="504"/>
      <c r="O206" s="504"/>
      <c r="P206" s="504"/>
      <c r="Q206" s="504"/>
      <c r="R206" s="504"/>
      <c r="S206" s="504"/>
      <c r="T206" s="504"/>
      <c r="U206" s="504"/>
      <c r="V206" s="504"/>
      <c r="W206" s="504"/>
      <c r="X206" s="504"/>
    </row>
    <row r="207" spans="1:24" s="472" customFormat="1" x14ac:dyDescent="0.25">
      <c r="A207" s="495"/>
      <c r="B207" s="505" t="s">
        <v>22</v>
      </c>
      <c r="C207" s="495"/>
      <c r="D207" s="495"/>
      <c r="E207" s="498"/>
      <c r="F207" s="495"/>
      <c r="G207" s="504"/>
      <c r="H207" s="504"/>
      <c r="I207" s="504"/>
      <c r="J207" s="504"/>
      <c r="K207" s="504"/>
      <c r="L207" s="504"/>
      <c r="M207" s="504"/>
      <c r="N207" s="504"/>
      <c r="O207" s="504"/>
      <c r="P207" s="504"/>
      <c r="Q207" s="504"/>
      <c r="R207" s="504"/>
      <c r="S207" s="504"/>
      <c r="T207" s="504"/>
      <c r="U207" s="504"/>
      <c r="V207" s="504"/>
      <c r="W207" s="504"/>
      <c r="X207" s="504"/>
    </row>
    <row r="208" spans="1:24" x14ac:dyDescent="0.25">
      <c r="A208" s="530"/>
      <c r="B208" s="387" t="s">
        <v>19</v>
      </c>
      <c r="C208" s="530"/>
      <c r="D208" s="390">
        <f>D205</f>
        <v>86440</v>
      </c>
      <c r="E208" s="531"/>
      <c r="F208" s="390">
        <f>F205</f>
        <v>86440</v>
      </c>
    </row>
    <row r="209" spans="1:6" x14ac:dyDescent="0.25">
      <c r="A209" s="564" t="s">
        <v>24</v>
      </c>
      <c r="B209" s="564"/>
      <c r="C209" s="564"/>
      <c r="D209" s="564"/>
      <c r="E209" s="564"/>
      <c r="F209" s="564"/>
    </row>
    <row r="210" spans="1:6" ht="60" x14ac:dyDescent="0.25">
      <c r="A210" s="530">
        <v>46</v>
      </c>
      <c r="B210" s="384" t="s">
        <v>459</v>
      </c>
      <c r="C210" s="401">
        <f>C211</f>
        <v>31734</v>
      </c>
      <c r="D210" s="401">
        <f>D211</f>
        <v>31734</v>
      </c>
      <c r="E210" s="401">
        <f>E211</f>
        <v>108808.8</v>
      </c>
      <c r="F210" s="401">
        <f>F211</f>
        <v>108808.8</v>
      </c>
    </row>
    <row r="211" spans="1:6" s="155" customFormat="1" x14ac:dyDescent="0.25">
      <c r="A211" s="530"/>
      <c r="B211" s="387" t="s">
        <v>13</v>
      </c>
      <c r="C211" s="389">
        <v>31734</v>
      </c>
      <c r="D211" s="389">
        <v>31734</v>
      </c>
      <c r="E211" s="389">
        <f>C211+'2016'!E133+'2017'!E160+'2018'!E178</f>
        <v>108808.8</v>
      </c>
      <c r="F211" s="389">
        <f>C211+'2016'!E133+'2017'!E160+'2018'!E178</f>
        <v>108808.8</v>
      </c>
    </row>
    <row r="212" spans="1:6" x14ac:dyDescent="0.25">
      <c r="A212" s="530"/>
      <c r="B212" s="394" t="s">
        <v>54</v>
      </c>
      <c r="C212" s="395">
        <f>C213</f>
        <v>31734</v>
      </c>
      <c r="D212" s="395">
        <f>D213</f>
        <v>31734</v>
      </c>
      <c r="E212" s="395">
        <f>E213</f>
        <v>108808.8</v>
      </c>
      <c r="F212" s="395">
        <f>F213</f>
        <v>108808.8</v>
      </c>
    </row>
    <row r="213" spans="1:6" s="155" customFormat="1" x14ac:dyDescent="0.25">
      <c r="A213" s="530"/>
      <c r="B213" s="387" t="s">
        <v>13</v>
      </c>
      <c r="C213" s="389">
        <v>31734</v>
      </c>
      <c r="D213" s="389">
        <v>31734</v>
      </c>
      <c r="E213" s="389">
        <f>C213+'2016'!E135+'2017'!E162+'2018'!E180</f>
        <v>108808.8</v>
      </c>
      <c r="F213" s="389">
        <f>C213+'2016'!E135+'2017'!E162+'2018'!E180</f>
        <v>108808.8</v>
      </c>
    </row>
    <row r="214" spans="1:6" s="155" customFormat="1" ht="15" customHeight="1" x14ac:dyDescent="0.25">
      <c r="A214" s="564" t="s">
        <v>354</v>
      </c>
      <c r="B214" s="564"/>
      <c r="C214" s="564"/>
      <c r="D214" s="564"/>
      <c r="E214" s="564"/>
      <c r="F214" s="564"/>
    </row>
    <row r="215" spans="1:6" s="155" customFormat="1" ht="93.75" customHeight="1" x14ac:dyDescent="0.25">
      <c r="A215" s="530">
        <v>47</v>
      </c>
      <c r="B215" s="384" t="s">
        <v>682</v>
      </c>
      <c r="C215" s="389"/>
      <c r="D215" s="389"/>
      <c r="E215" s="385">
        <v>0</v>
      </c>
      <c r="F215" s="385">
        <v>0</v>
      </c>
    </row>
    <row r="216" spans="1:6" s="155" customFormat="1" ht="15" customHeight="1" x14ac:dyDescent="0.25">
      <c r="A216" s="530"/>
      <c r="B216" s="387" t="s">
        <v>13</v>
      </c>
      <c r="C216" s="389"/>
      <c r="D216" s="389"/>
      <c r="E216" s="389">
        <v>0</v>
      </c>
      <c r="F216" s="389">
        <v>0</v>
      </c>
    </row>
    <row r="217" spans="1:6" s="155" customFormat="1" ht="15" customHeight="1" x14ac:dyDescent="0.25">
      <c r="A217" s="530"/>
      <c r="B217" s="394" t="s">
        <v>54</v>
      </c>
      <c r="C217" s="389"/>
      <c r="D217" s="389"/>
      <c r="E217" s="395">
        <v>0</v>
      </c>
      <c r="F217" s="395">
        <v>0</v>
      </c>
    </row>
    <row r="218" spans="1:6" s="155" customFormat="1" ht="15" customHeight="1" x14ac:dyDescent="0.25">
      <c r="A218" s="530"/>
      <c r="B218" s="387" t="s">
        <v>13</v>
      </c>
      <c r="C218" s="389"/>
      <c r="D218" s="389"/>
      <c r="E218" s="389">
        <v>0</v>
      </c>
      <c r="F218" s="389">
        <v>0</v>
      </c>
    </row>
    <row r="219" spans="1:6" x14ac:dyDescent="0.25">
      <c r="A219" s="564" t="s">
        <v>25</v>
      </c>
      <c r="B219" s="564"/>
      <c r="C219" s="564"/>
      <c r="D219" s="564"/>
      <c r="E219" s="564"/>
      <c r="F219" s="564"/>
    </row>
    <row r="220" spans="1:6" ht="48.75" customHeight="1" x14ac:dyDescent="0.25">
      <c r="A220" s="530">
        <v>48</v>
      </c>
      <c r="B220" s="384" t="s">
        <v>585</v>
      </c>
      <c r="C220" s="401">
        <f>C221</f>
        <v>30000</v>
      </c>
      <c r="D220" s="401">
        <f>D221</f>
        <v>30000</v>
      </c>
      <c r="E220" s="401">
        <f>E221</f>
        <v>30000</v>
      </c>
      <c r="F220" s="401">
        <f>F221</f>
        <v>30000</v>
      </c>
    </row>
    <row r="221" spans="1:6" x14ac:dyDescent="0.25">
      <c r="A221" s="530"/>
      <c r="B221" s="387" t="s">
        <v>13</v>
      </c>
      <c r="C221" s="389">
        <v>30000</v>
      </c>
      <c r="D221" s="389">
        <v>30000</v>
      </c>
      <c r="E221" s="389">
        <f>C221</f>
        <v>30000</v>
      </c>
      <c r="F221" s="389">
        <f>D221</f>
        <v>30000</v>
      </c>
    </row>
    <row r="222" spans="1:6" ht="75" x14ac:dyDescent="0.25">
      <c r="A222" s="530">
        <v>49</v>
      </c>
      <c r="B222" s="384" t="s">
        <v>39</v>
      </c>
      <c r="C222" s="389"/>
      <c r="D222" s="385">
        <f>D223</f>
        <v>0</v>
      </c>
      <c r="E222" s="401">
        <f>E223</f>
        <v>100000</v>
      </c>
      <c r="F222" s="401">
        <f>F223</f>
        <v>15210</v>
      </c>
    </row>
    <row r="223" spans="1:6" ht="17.25" customHeight="1" x14ac:dyDescent="0.25">
      <c r="A223" s="530"/>
      <c r="B223" s="387" t="s">
        <v>19</v>
      </c>
      <c r="C223" s="389"/>
      <c r="D223" s="389"/>
      <c r="E223" s="389">
        <f>'2016'!E143+'2017'!E165</f>
        <v>100000</v>
      </c>
      <c r="F223" s="404">
        <v>15210</v>
      </c>
    </row>
    <row r="224" spans="1:6" s="504" customFormat="1" ht="75" x14ac:dyDescent="0.25">
      <c r="A224" s="495">
        <v>50</v>
      </c>
      <c r="B224" s="434" t="s">
        <v>39</v>
      </c>
      <c r="C224" s="495"/>
      <c r="D224" s="385">
        <f>D225</f>
        <v>5625</v>
      </c>
      <c r="E224" s="509">
        <f>E225</f>
        <v>0</v>
      </c>
      <c r="F224" s="509">
        <f>F225</f>
        <v>35263425</v>
      </c>
    </row>
    <row r="225" spans="1:15" x14ac:dyDescent="0.25">
      <c r="A225" s="530"/>
      <c r="B225" s="387" t="s">
        <v>19</v>
      </c>
      <c r="C225" s="530"/>
      <c r="D225" s="390">
        <v>5625</v>
      </c>
      <c r="E225" s="389">
        <f>C225+'2018'!E183</f>
        <v>0</v>
      </c>
      <c r="F225" s="389">
        <f>D225+'2018'!F183</f>
        <v>35263425</v>
      </c>
    </row>
    <row r="226" spans="1:15" x14ac:dyDescent="0.25">
      <c r="A226" s="530"/>
      <c r="B226" s="394" t="s">
        <v>54</v>
      </c>
      <c r="C226" s="395">
        <f>C227+C228</f>
        <v>30000</v>
      </c>
      <c r="D226" s="395">
        <f t="shared" ref="D226" si="4">D227+D228</f>
        <v>35625</v>
      </c>
      <c r="E226" s="395">
        <f>E227+E228</f>
        <v>130000</v>
      </c>
      <c r="F226" s="395">
        <f t="shared" ref="F226" si="5">F227+F228</f>
        <v>35308635</v>
      </c>
    </row>
    <row r="227" spans="1:15" x14ac:dyDescent="0.25">
      <c r="A227" s="530"/>
      <c r="B227" s="387" t="s">
        <v>13</v>
      </c>
      <c r="C227" s="389">
        <f>C221</f>
        <v>30000</v>
      </c>
      <c r="D227" s="389">
        <f>D221</f>
        <v>30000</v>
      </c>
      <c r="E227" s="389">
        <f>E221</f>
        <v>30000</v>
      </c>
      <c r="F227" s="389">
        <f>F221</f>
        <v>30000</v>
      </c>
    </row>
    <row r="228" spans="1:15" s="155" customFormat="1" x14ac:dyDescent="0.25">
      <c r="A228" s="530"/>
      <c r="B228" s="387" t="s">
        <v>19</v>
      </c>
      <c r="C228" s="389">
        <f>C223+C225</f>
        <v>0</v>
      </c>
      <c r="D228" s="389">
        <f>D223+D225</f>
        <v>5625</v>
      </c>
      <c r="E228" s="389">
        <f>E223+E225</f>
        <v>100000</v>
      </c>
      <c r="F228" s="389">
        <f>F223+F225</f>
        <v>35278635</v>
      </c>
    </row>
    <row r="229" spans="1:15" s="155" customFormat="1" x14ac:dyDescent="0.25">
      <c r="A229" s="566" t="s">
        <v>360</v>
      </c>
      <c r="B229" s="567"/>
      <c r="C229" s="567"/>
      <c r="D229" s="567"/>
      <c r="E229" s="567"/>
      <c r="F229" s="567"/>
    </row>
    <row r="230" spans="1:15" s="155" customFormat="1" ht="34.5" customHeight="1" x14ac:dyDescent="0.25">
      <c r="A230" s="530">
        <v>51</v>
      </c>
      <c r="B230" s="384" t="s">
        <v>586</v>
      </c>
      <c r="C230" s="385">
        <f>C231</f>
        <v>3000</v>
      </c>
      <c r="D230" s="385">
        <f>D231</f>
        <v>3000</v>
      </c>
      <c r="E230" s="385">
        <f>E231</f>
        <v>6000</v>
      </c>
      <c r="F230" s="385">
        <f>F231</f>
        <v>6000</v>
      </c>
    </row>
    <row r="231" spans="1:15" s="155" customFormat="1" x14ac:dyDescent="0.25">
      <c r="A231" s="530"/>
      <c r="B231" s="387" t="s">
        <v>13</v>
      </c>
      <c r="C231" s="389">
        <v>3000</v>
      </c>
      <c r="D231" s="389">
        <v>3000</v>
      </c>
      <c r="E231" s="389">
        <f>C231+'2016'!E148</f>
        <v>6000</v>
      </c>
      <c r="F231" s="389">
        <f>C231+'2016'!E148</f>
        <v>6000</v>
      </c>
    </row>
    <row r="232" spans="1:15" s="155" customFormat="1" ht="60" x14ac:dyDescent="0.25">
      <c r="A232" s="530">
        <v>52</v>
      </c>
      <c r="B232" s="384" t="s">
        <v>588</v>
      </c>
      <c r="C232" s="390"/>
      <c r="D232" s="390"/>
      <c r="E232" s="385">
        <f>E233</f>
        <v>2000</v>
      </c>
      <c r="F232" s="385">
        <f>F233</f>
        <v>2000</v>
      </c>
    </row>
    <row r="233" spans="1:15" s="155" customFormat="1" x14ac:dyDescent="0.25">
      <c r="A233" s="530"/>
      <c r="B233" s="387" t="s">
        <v>13</v>
      </c>
      <c r="C233" s="390"/>
      <c r="D233" s="390"/>
      <c r="E233" s="389">
        <f>'2016'!E150</f>
        <v>2000</v>
      </c>
      <c r="F233" s="389">
        <f>'2016'!E150</f>
        <v>2000</v>
      </c>
    </row>
    <row r="234" spans="1:15" s="155" customFormat="1" x14ac:dyDescent="0.25">
      <c r="A234" s="532"/>
      <c r="B234" s="394" t="s">
        <v>54</v>
      </c>
      <c r="C234" s="395">
        <f>C235</f>
        <v>3000</v>
      </c>
      <c r="D234" s="395">
        <f>D235</f>
        <v>3000</v>
      </c>
      <c r="E234" s="395">
        <f>E235</f>
        <v>8000</v>
      </c>
      <c r="F234" s="395">
        <f>F235</f>
        <v>8000</v>
      </c>
      <c r="G234" s="447"/>
    </row>
    <row r="235" spans="1:15" s="155" customFormat="1" x14ac:dyDescent="0.25">
      <c r="A235" s="532"/>
      <c r="B235" s="387" t="s">
        <v>13</v>
      </c>
      <c r="C235" s="389">
        <f>C231+C233</f>
        <v>3000</v>
      </c>
      <c r="D235" s="389">
        <f>D231+D233</f>
        <v>3000</v>
      </c>
      <c r="E235" s="389">
        <f>E231+E233</f>
        <v>8000</v>
      </c>
      <c r="F235" s="389">
        <f>F231+F233</f>
        <v>8000</v>
      </c>
      <c r="G235" s="447"/>
    </row>
    <row r="236" spans="1:15" s="155" customFormat="1" ht="15" customHeight="1" x14ac:dyDescent="0.25">
      <c r="A236" s="566" t="s">
        <v>534</v>
      </c>
      <c r="B236" s="567"/>
      <c r="C236" s="567"/>
      <c r="D236" s="567"/>
      <c r="E236" s="567"/>
      <c r="F236" s="567"/>
    </row>
    <row r="237" spans="1:15" s="473" customFormat="1" ht="93" customHeight="1" x14ac:dyDescent="0.25">
      <c r="A237" s="495">
        <v>53</v>
      </c>
      <c r="B237" s="434" t="s">
        <v>590</v>
      </c>
      <c r="C237" s="496">
        <f>C238</f>
        <v>50000</v>
      </c>
      <c r="D237" s="496">
        <f>D238</f>
        <v>49997.58</v>
      </c>
      <c r="E237" s="496">
        <f>E238</f>
        <v>8050000</v>
      </c>
      <c r="F237" s="496">
        <f>F238</f>
        <v>617599.97</v>
      </c>
      <c r="G237" s="497"/>
      <c r="H237" s="497"/>
      <c r="I237" s="497"/>
      <c r="J237" s="497"/>
      <c r="K237" s="497"/>
      <c r="L237" s="497"/>
      <c r="M237" s="497"/>
      <c r="N237" s="497"/>
      <c r="O237" s="497"/>
    </row>
    <row r="238" spans="1:15" s="155" customFormat="1" ht="18.75" customHeight="1" x14ac:dyDescent="0.25">
      <c r="A238" s="530"/>
      <c r="B238" s="387" t="s">
        <v>684</v>
      </c>
      <c r="C238" s="390">
        <v>50000</v>
      </c>
      <c r="D238" s="528">
        <v>49997.58</v>
      </c>
      <c r="E238" s="389">
        <f>C238+'2017'!E170</f>
        <v>8050000</v>
      </c>
      <c r="F238" s="389">
        <f>D238+567602.39</f>
        <v>617599.97</v>
      </c>
    </row>
    <row r="239" spans="1:15" s="155" customFormat="1" x14ac:dyDescent="0.25">
      <c r="A239" s="530"/>
      <c r="B239" s="394" t="s">
        <v>54</v>
      </c>
      <c r="C239" s="395">
        <f>C240</f>
        <v>50000</v>
      </c>
      <c r="D239" s="395">
        <f>D240</f>
        <v>49997.58</v>
      </c>
      <c r="E239" s="395">
        <f>E240</f>
        <v>8050000</v>
      </c>
      <c r="F239" s="395">
        <f>F240</f>
        <v>617599.97</v>
      </c>
    </row>
    <row r="240" spans="1:15" s="155" customFormat="1" x14ac:dyDescent="0.25">
      <c r="A240" s="530"/>
      <c r="B240" s="387" t="s">
        <v>684</v>
      </c>
      <c r="C240" s="389">
        <f>C238</f>
        <v>50000</v>
      </c>
      <c r="D240" s="389">
        <f>D238</f>
        <v>49997.58</v>
      </c>
      <c r="E240" s="389">
        <f>E238</f>
        <v>8050000</v>
      </c>
      <c r="F240" s="389">
        <f>F238</f>
        <v>617599.97</v>
      </c>
    </row>
    <row r="241" spans="1:6" x14ac:dyDescent="0.25">
      <c r="A241" s="530"/>
      <c r="B241" s="394" t="s">
        <v>73</v>
      </c>
      <c r="C241" s="395">
        <f>C242+C243+C244</f>
        <v>175434</v>
      </c>
      <c r="D241" s="395">
        <f>D242+D243+D244</f>
        <v>267066.58</v>
      </c>
      <c r="E241" s="395">
        <f>E242+E243+E244</f>
        <v>9857553.8000000007</v>
      </c>
      <c r="F241" s="395">
        <f>F242+F243+F244</f>
        <v>37679359.859999999</v>
      </c>
    </row>
    <row r="242" spans="1:6" x14ac:dyDescent="0.25">
      <c r="A242" s="530"/>
      <c r="B242" s="387" t="s">
        <v>13</v>
      </c>
      <c r="C242" s="389">
        <f>C179+C188+C213+C218+C227+C235</f>
        <v>85234</v>
      </c>
      <c r="D242" s="389">
        <f>D179+D188+D213+D218+D227+D235</f>
        <v>85234</v>
      </c>
      <c r="E242" s="389">
        <f>E179+E188+E213+E218+E227+E235</f>
        <v>247014.8</v>
      </c>
      <c r="F242" s="389">
        <f>F179+F188+F213+F218+F227+F235</f>
        <v>247014.8</v>
      </c>
    </row>
    <row r="243" spans="1:6" x14ac:dyDescent="0.25">
      <c r="A243" s="530"/>
      <c r="B243" s="387" t="s">
        <v>22</v>
      </c>
      <c r="C243" s="389">
        <f>C199+C238</f>
        <v>90200</v>
      </c>
      <c r="D243" s="389">
        <f>D199+D238</f>
        <v>89767.58</v>
      </c>
      <c r="E243" s="389">
        <f>E199+E238</f>
        <v>9510539</v>
      </c>
      <c r="F243" s="389">
        <f>F199+F238</f>
        <v>2067270.06</v>
      </c>
    </row>
    <row r="244" spans="1:6" x14ac:dyDescent="0.25">
      <c r="A244" s="530"/>
      <c r="B244" s="387" t="s">
        <v>53</v>
      </c>
      <c r="C244" s="389">
        <f>C189++C208+C228</f>
        <v>0</v>
      </c>
      <c r="D244" s="389">
        <f>D189++D208+D228</f>
        <v>92065</v>
      </c>
      <c r="E244" s="389">
        <f>E189++E208+E228</f>
        <v>100000</v>
      </c>
      <c r="F244" s="389">
        <f>F189++F208+F228</f>
        <v>35365075</v>
      </c>
    </row>
    <row r="245" spans="1:6" ht="9" customHeight="1" x14ac:dyDescent="0.25">
      <c r="A245" s="530"/>
      <c r="B245" s="387"/>
      <c r="C245" s="389"/>
      <c r="D245" s="389"/>
      <c r="E245" s="389"/>
      <c r="F245" s="389"/>
    </row>
    <row r="246" spans="1:6" x14ac:dyDescent="0.25">
      <c r="A246" s="530"/>
      <c r="B246" s="565" t="s">
        <v>306</v>
      </c>
      <c r="C246" s="565"/>
      <c r="D246" s="565"/>
      <c r="E246" s="565"/>
      <c r="F246" s="565"/>
    </row>
    <row r="247" spans="1:6" x14ac:dyDescent="0.25">
      <c r="A247" s="564" t="s">
        <v>145</v>
      </c>
      <c r="B247" s="564"/>
      <c r="C247" s="564"/>
      <c r="D247" s="564"/>
      <c r="E247" s="564"/>
      <c r="F247" s="564"/>
    </row>
    <row r="248" spans="1:6" ht="215.25" customHeight="1" x14ac:dyDescent="0.25">
      <c r="A248" s="530">
        <v>54</v>
      </c>
      <c r="B248" s="384" t="s">
        <v>618</v>
      </c>
      <c r="C248" s="412">
        <f>C249</f>
        <v>39000</v>
      </c>
      <c r="D248" s="412">
        <f>D249</f>
        <v>39000</v>
      </c>
      <c r="E248" s="412">
        <f>E249</f>
        <v>114791</v>
      </c>
      <c r="F248" s="412">
        <f>F249</f>
        <v>114791</v>
      </c>
    </row>
    <row r="249" spans="1:6" s="155" customFormat="1" x14ac:dyDescent="0.25">
      <c r="A249" s="530"/>
      <c r="B249" s="387" t="s">
        <v>13</v>
      </c>
      <c r="C249" s="415">
        <v>39000</v>
      </c>
      <c r="D249" s="415">
        <v>39000</v>
      </c>
      <c r="E249" s="415">
        <f>C249+'2016'!E160+'2017'!E180+'2018'!E192</f>
        <v>114791</v>
      </c>
      <c r="F249" s="415">
        <f>D249+'2016'!E160+'2017'!E180+'2018'!E192</f>
        <v>114791</v>
      </c>
    </row>
    <row r="250" spans="1:6" ht="45" x14ac:dyDescent="0.25">
      <c r="A250" s="530">
        <v>55</v>
      </c>
      <c r="B250" s="384" t="s">
        <v>146</v>
      </c>
      <c r="C250" s="412">
        <f>C251</f>
        <v>4971</v>
      </c>
      <c r="D250" s="412">
        <f>D251</f>
        <v>4971</v>
      </c>
      <c r="E250" s="412">
        <f>E251</f>
        <v>23971</v>
      </c>
      <c r="F250" s="412">
        <f>F251</f>
        <v>23971</v>
      </c>
    </row>
    <row r="251" spans="1:6" s="155" customFormat="1" x14ac:dyDescent="0.25">
      <c r="A251" s="530"/>
      <c r="B251" s="387" t="s">
        <v>13</v>
      </c>
      <c r="C251" s="415">
        <v>4971</v>
      </c>
      <c r="D251" s="415">
        <v>4971</v>
      </c>
      <c r="E251" s="415">
        <f>C251+'2016'!E162+'2017'!E182+'2018'!E193</f>
        <v>23971</v>
      </c>
      <c r="F251" s="415">
        <f>D251+'2016'!E162+'2017'!E182+'2018'!E194</f>
        <v>23971</v>
      </c>
    </row>
    <row r="252" spans="1:6" ht="90" x14ac:dyDescent="0.25">
      <c r="A252" s="530">
        <v>56</v>
      </c>
      <c r="B252" s="384" t="s">
        <v>462</v>
      </c>
      <c r="C252" s="412"/>
      <c r="D252" s="412"/>
      <c r="E252" s="412">
        <f>E253</f>
        <v>23000</v>
      </c>
      <c r="F252" s="412">
        <f>F253</f>
        <v>23000</v>
      </c>
    </row>
    <row r="253" spans="1:6" s="155" customFormat="1" x14ac:dyDescent="0.25">
      <c r="A253" s="530"/>
      <c r="B253" s="387" t="s">
        <v>13</v>
      </c>
      <c r="C253" s="415"/>
      <c r="D253" s="415"/>
      <c r="E253" s="415">
        <f>'2016'!E164+'2018'!E196</f>
        <v>23000</v>
      </c>
      <c r="F253" s="415">
        <f>D253+'2016'!E164+'2018'!E196</f>
        <v>23000</v>
      </c>
    </row>
    <row r="254" spans="1:6" s="155" customFormat="1" ht="60" x14ac:dyDescent="0.25">
      <c r="A254" s="530">
        <v>57</v>
      </c>
      <c r="B254" s="384" t="s">
        <v>371</v>
      </c>
      <c r="C254" s="415"/>
      <c r="D254" s="415"/>
      <c r="E254" s="412">
        <f>E255</f>
        <v>30000</v>
      </c>
      <c r="F254" s="412">
        <f>F255</f>
        <v>30000</v>
      </c>
    </row>
    <row r="255" spans="1:6" s="155" customFormat="1" x14ac:dyDescent="0.25">
      <c r="A255" s="530"/>
      <c r="B255" s="387" t="s">
        <v>13</v>
      </c>
      <c r="C255" s="415"/>
      <c r="D255" s="415"/>
      <c r="E255" s="415">
        <f>'2016'!E166</f>
        <v>30000</v>
      </c>
      <c r="F255" s="415">
        <f>'2016'!E166</f>
        <v>30000</v>
      </c>
    </row>
    <row r="256" spans="1:6" s="155" customFormat="1" ht="45" x14ac:dyDescent="0.25">
      <c r="A256" s="530">
        <v>58</v>
      </c>
      <c r="B256" s="384" t="s">
        <v>147</v>
      </c>
      <c r="C256" s="415"/>
      <c r="D256" s="415"/>
      <c r="E256" s="412">
        <f>E257</f>
        <v>49530</v>
      </c>
      <c r="F256" s="412">
        <f>F257</f>
        <v>49530</v>
      </c>
    </row>
    <row r="257" spans="1:6" s="155" customFormat="1" x14ac:dyDescent="0.25">
      <c r="A257" s="530"/>
      <c r="B257" s="387" t="s">
        <v>13</v>
      </c>
      <c r="C257" s="415"/>
      <c r="D257" s="415"/>
      <c r="E257" s="415">
        <f>'2016'!E168+'2017'!E184</f>
        <v>49530</v>
      </c>
      <c r="F257" s="415">
        <f>'2016'!E168+'2017'!E184</f>
        <v>49530</v>
      </c>
    </row>
    <row r="258" spans="1:6" ht="107.25" customHeight="1" x14ac:dyDescent="0.25">
      <c r="A258" s="495">
        <v>59</v>
      </c>
      <c r="B258" s="434" t="s">
        <v>148</v>
      </c>
      <c r="C258" s="515">
        <f>C259</f>
        <v>25000</v>
      </c>
      <c r="D258" s="515">
        <f>D259</f>
        <v>25000</v>
      </c>
      <c r="E258" s="515">
        <f>E259</f>
        <v>114296</v>
      </c>
      <c r="F258" s="515">
        <f>F259</f>
        <v>112318</v>
      </c>
    </row>
    <row r="259" spans="1:6" s="155" customFormat="1" x14ac:dyDescent="0.25">
      <c r="A259" s="530"/>
      <c r="B259" s="387" t="s">
        <v>13</v>
      </c>
      <c r="C259" s="415">
        <v>25000</v>
      </c>
      <c r="D259" s="415">
        <v>25000</v>
      </c>
      <c r="E259" s="415">
        <f>C259+'2016'!E170+'2017'!E186+'2018'!E198</f>
        <v>114296</v>
      </c>
      <c r="F259" s="415">
        <f>D259+'2018'!E198+'2017'!E186+24318</f>
        <v>112318</v>
      </c>
    </row>
    <row r="260" spans="1:6" ht="105" x14ac:dyDescent="0.25">
      <c r="A260" s="530">
        <v>60</v>
      </c>
      <c r="B260" s="384" t="s">
        <v>150</v>
      </c>
      <c r="C260" s="412"/>
      <c r="D260" s="412"/>
      <c r="E260" s="412">
        <f>E261</f>
        <v>85000</v>
      </c>
      <c r="F260" s="412">
        <f>F261</f>
        <v>85000</v>
      </c>
    </row>
    <row r="261" spans="1:6" s="155" customFormat="1" x14ac:dyDescent="0.25">
      <c r="A261" s="530"/>
      <c r="B261" s="387" t="s">
        <v>13</v>
      </c>
      <c r="C261" s="415"/>
      <c r="D261" s="415"/>
      <c r="E261" s="535">
        <f>'2016'!E172+'2017'!E188+'2018'!E200</f>
        <v>85000</v>
      </c>
      <c r="F261" s="535">
        <f>'2017'!E188+'2018'!E200+5000</f>
        <v>85000</v>
      </c>
    </row>
    <row r="262" spans="1:6" ht="135" x14ac:dyDescent="0.25">
      <c r="A262" s="530">
        <v>61</v>
      </c>
      <c r="B262" s="384" t="s">
        <v>151</v>
      </c>
      <c r="C262" s="412">
        <f>C263</f>
        <v>30000</v>
      </c>
      <c r="D262" s="412">
        <f>D263</f>
        <v>30000</v>
      </c>
      <c r="E262" s="412">
        <f>E263</f>
        <v>115040</v>
      </c>
      <c r="F262" s="412">
        <f>F263</f>
        <v>123196</v>
      </c>
    </row>
    <row r="263" spans="1:6" s="155" customFormat="1" x14ac:dyDescent="0.25">
      <c r="A263" s="530"/>
      <c r="B263" s="387" t="s">
        <v>13</v>
      </c>
      <c r="C263" s="415">
        <v>30000</v>
      </c>
      <c r="D263" s="415">
        <v>30000</v>
      </c>
      <c r="E263" s="415">
        <f>C263+'2016'!E174+'2017'!E190+'2018'!E202</f>
        <v>115040</v>
      </c>
      <c r="F263" s="415">
        <f>D263+'2018'!E202+'2017'!E190+40156</f>
        <v>123196</v>
      </c>
    </row>
    <row r="264" spans="1:6" ht="90" x14ac:dyDescent="0.25">
      <c r="A264" s="530">
        <v>62</v>
      </c>
      <c r="B264" s="384" t="s">
        <v>152</v>
      </c>
      <c r="C264" s="412">
        <f t="shared" ref="C264:D264" si="6">C265</f>
        <v>20000</v>
      </c>
      <c r="D264" s="412">
        <f t="shared" si="6"/>
        <v>20000</v>
      </c>
      <c r="E264" s="412">
        <f t="shared" ref="E264:F266" si="7">E265</f>
        <v>110137.1</v>
      </c>
      <c r="F264" s="412">
        <f t="shared" si="7"/>
        <v>101598.9</v>
      </c>
    </row>
    <row r="265" spans="1:6" s="155" customFormat="1" x14ac:dyDescent="0.25">
      <c r="A265" s="530"/>
      <c r="B265" s="387" t="s">
        <v>13</v>
      </c>
      <c r="C265" s="415">
        <v>20000</v>
      </c>
      <c r="D265" s="415">
        <v>20000</v>
      </c>
      <c r="E265" s="415">
        <f>C265+'2016'!E176+'2017'!E192+'2018'!E204</f>
        <v>110137.1</v>
      </c>
      <c r="F265" s="415">
        <f>D265+'2018'!E204+'2017'!E192+39450.9</f>
        <v>101598.9</v>
      </c>
    </row>
    <row r="266" spans="1:6" ht="75" x14ac:dyDescent="0.25">
      <c r="A266" s="530">
        <v>63</v>
      </c>
      <c r="B266" s="384" t="s">
        <v>153</v>
      </c>
      <c r="C266" s="412"/>
      <c r="D266" s="412"/>
      <c r="E266" s="412">
        <f t="shared" si="7"/>
        <v>13000</v>
      </c>
      <c r="F266" s="412">
        <f t="shared" si="7"/>
        <v>12495.1</v>
      </c>
    </row>
    <row r="267" spans="1:6" s="155" customFormat="1" x14ac:dyDescent="0.25">
      <c r="A267" s="530"/>
      <c r="B267" s="387" t="s">
        <v>13</v>
      </c>
      <c r="C267" s="415"/>
      <c r="D267" s="415"/>
      <c r="E267" s="415">
        <f>'2019'!E269+'2016'!E178+'2017'!E194+'2018'!E206</f>
        <v>13000</v>
      </c>
      <c r="F267" s="415">
        <f>D267+'2018'!E206+'2017'!E194+4495.1</f>
        <v>12495.1</v>
      </c>
    </row>
    <row r="268" spans="1:6" ht="36.75" customHeight="1" x14ac:dyDescent="0.25">
      <c r="A268" s="530">
        <v>64</v>
      </c>
      <c r="B268" s="384" t="s">
        <v>154</v>
      </c>
      <c r="C268" s="412">
        <f>C269</f>
        <v>20000</v>
      </c>
      <c r="D268" s="412">
        <f>D269</f>
        <v>20000</v>
      </c>
      <c r="E268" s="412">
        <f>E269</f>
        <v>833684</v>
      </c>
      <c r="F268" s="412">
        <f>F269</f>
        <v>833684</v>
      </c>
    </row>
    <row r="269" spans="1:6" s="155" customFormat="1" x14ac:dyDescent="0.25">
      <c r="A269" s="530"/>
      <c r="B269" s="387" t="s">
        <v>13</v>
      </c>
      <c r="C269" s="415">
        <f>C271+C272</f>
        <v>20000</v>
      </c>
      <c r="D269" s="415">
        <f>D271+D272</f>
        <v>20000</v>
      </c>
      <c r="E269" s="415">
        <f>E271+E272</f>
        <v>833684</v>
      </c>
      <c r="F269" s="415">
        <f>F271+F272</f>
        <v>833684</v>
      </c>
    </row>
    <row r="270" spans="1:6" x14ac:dyDescent="0.25">
      <c r="A270" s="530"/>
      <c r="B270" s="384" t="s">
        <v>155</v>
      </c>
      <c r="C270" s="412"/>
      <c r="D270" s="412"/>
      <c r="E270" s="414"/>
      <c r="F270" s="414"/>
    </row>
    <row r="271" spans="1:6" ht="45" customHeight="1" x14ac:dyDescent="0.25">
      <c r="A271" s="530"/>
      <c r="B271" s="384" t="s">
        <v>156</v>
      </c>
      <c r="C271" s="412">
        <v>20000</v>
      </c>
      <c r="D271" s="412">
        <v>20000</v>
      </c>
      <c r="E271" s="412">
        <f>'2019'!E273+'2016'!E182+'2017'!E198+'2018'!E210</f>
        <v>61184</v>
      </c>
      <c r="F271" s="412">
        <f>D271+'2018'!E210+'2017'!E198+10000</f>
        <v>61184</v>
      </c>
    </row>
    <row r="272" spans="1:6" ht="75" x14ac:dyDescent="0.25">
      <c r="A272" s="530"/>
      <c r="B272" s="384" t="s">
        <v>157</v>
      </c>
      <c r="C272" s="412"/>
      <c r="D272" s="412"/>
      <c r="E272" s="412">
        <f>'2019'!E274+'2016'!E183+'2017'!E199+'2018'!E211</f>
        <v>772500</v>
      </c>
      <c r="F272" s="412">
        <f>D272++'2018'!E211+'2017'!E199+328000</f>
        <v>772500</v>
      </c>
    </row>
    <row r="273" spans="1:6" ht="45" x14ac:dyDescent="0.25">
      <c r="A273" s="530">
        <v>65</v>
      </c>
      <c r="B273" s="384" t="s">
        <v>158</v>
      </c>
      <c r="C273" s="412"/>
      <c r="D273" s="412"/>
      <c r="E273" s="412">
        <f>E274</f>
        <v>91000</v>
      </c>
      <c r="F273" s="412">
        <f>F274</f>
        <v>91000</v>
      </c>
    </row>
    <row r="274" spans="1:6" s="155" customFormat="1" x14ac:dyDescent="0.25">
      <c r="A274" s="530"/>
      <c r="B274" s="387" t="s">
        <v>13</v>
      </c>
      <c r="C274" s="415"/>
      <c r="D274" s="415"/>
      <c r="E274" s="415">
        <f>'2019'!E276+'2016'!E185+'2017'!E201+'2018'!E213</f>
        <v>91000</v>
      </c>
      <c r="F274" s="415">
        <f>D274+'2018'!E213+'2017'!E201+25000</f>
        <v>91000</v>
      </c>
    </row>
    <row r="275" spans="1:6" ht="69" customHeight="1" x14ac:dyDescent="0.25">
      <c r="A275" s="530">
        <v>66</v>
      </c>
      <c r="B275" s="384" t="s">
        <v>159</v>
      </c>
      <c r="C275" s="412">
        <f>C276</f>
        <v>110040.2</v>
      </c>
      <c r="D275" s="412">
        <f>D276</f>
        <v>110040.2</v>
      </c>
      <c r="E275" s="412">
        <f>E276</f>
        <v>529589.89999999991</v>
      </c>
      <c r="F275" s="412">
        <f>F276</f>
        <v>515226.29</v>
      </c>
    </row>
    <row r="276" spans="1:6" s="155" customFormat="1" x14ac:dyDescent="0.25">
      <c r="A276" s="530"/>
      <c r="B276" s="387" t="s">
        <v>13</v>
      </c>
      <c r="C276" s="415">
        <v>110040.2</v>
      </c>
      <c r="D276" s="415">
        <v>110040.2</v>
      </c>
      <c r="E276" s="415">
        <f>'2019'!E278+'2016'!E187+'2017'!E203+'2018'!E215</f>
        <v>529589.89999999991</v>
      </c>
      <c r="F276" s="415">
        <f>D276+'2018'!E215+'2017'!E203+126078.29</f>
        <v>515226.29</v>
      </c>
    </row>
    <row r="277" spans="1:6" s="155" customFormat="1" ht="45" x14ac:dyDescent="0.25">
      <c r="A277" s="530">
        <v>67</v>
      </c>
      <c r="B277" s="384" t="s">
        <v>160</v>
      </c>
      <c r="C277" s="415"/>
      <c r="D277" s="415"/>
      <c r="E277" s="412">
        <f>E278</f>
        <v>260000</v>
      </c>
      <c r="F277" s="412">
        <f>F278</f>
        <v>213164.06</v>
      </c>
    </row>
    <row r="278" spans="1:6" s="155" customFormat="1" x14ac:dyDescent="0.25">
      <c r="A278" s="530"/>
      <c r="B278" s="387" t="s">
        <v>13</v>
      </c>
      <c r="C278" s="415"/>
      <c r="D278" s="415"/>
      <c r="E278" s="415">
        <f>C278+'2016'!E189+'2017'!E205</f>
        <v>260000</v>
      </c>
      <c r="F278" s="415">
        <f>D278+'2017'!E205+83164.06</f>
        <v>213164.06</v>
      </c>
    </row>
    <row r="279" spans="1:6" ht="105" x14ac:dyDescent="0.25">
      <c r="A279" s="530">
        <v>68</v>
      </c>
      <c r="B279" s="384" t="s">
        <v>161</v>
      </c>
      <c r="C279" s="412"/>
      <c r="D279" s="412"/>
      <c r="E279" s="412">
        <f>E280</f>
        <v>96850</v>
      </c>
      <c r="F279" s="412">
        <f>F280</f>
        <v>67058</v>
      </c>
    </row>
    <row r="280" spans="1:6" s="155" customFormat="1" x14ac:dyDescent="0.25">
      <c r="A280" s="530"/>
      <c r="B280" s="387" t="s">
        <v>13</v>
      </c>
      <c r="C280" s="415"/>
      <c r="D280" s="415"/>
      <c r="E280" s="415">
        <f>C280+'2016'!E191+'2017'!E207+'2018'!E217</f>
        <v>96850</v>
      </c>
      <c r="F280" s="415">
        <f>D280+'2018'!E217+'2017'!E207+20208</f>
        <v>67058</v>
      </c>
    </row>
    <row r="281" spans="1:6" ht="105" x14ac:dyDescent="0.25">
      <c r="A281" s="530">
        <v>69</v>
      </c>
      <c r="B281" s="384" t="s">
        <v>162</v>
      </c>
      <c r="C281" s="412">
        <f>C282</f>
        <v>3779896.4000000004</v>
      </c>
      <c r="D281" s="412">
        <f>D282</f>
        <v>3779896.4000000004</v>
      </c>
      <c r="E281" s="412">
        <f>E282</f>
        <v>7136264.4000000004</v>
      </c>
      <c r="F281" s="412">
        <f>F282</f>
        <v>7047148.0300000003</v>
      </c>
    </row>
    <row r="282" spans="1:6" s="155" customFormat="1" x14ac:dyDescent="0.25">
      <c r="A282" s="530"/>
      <c r="B282" s="387" t="s">
        <v>13</v>
      </c>
      <c r="C282" s="415">
        <f>C284+C288+C292+C295</f>
        <v>3779896.4000000004</v>
      </c>
      <c r="D282" s="415">
        <f>D284+D288+D292+D295</f>
        <v>3779896.4000000004</v>
      </c>
      <c r="E282" s="415">
        <f>E284+E288+E292+E295</f>
        <v>7136264.4000000004</v>
      </c>
      <c r="F282" s="415">
        <f>F284+F288+F292+F295</f>
        <v>7047148.0300000003</v>
      </c>
    </row>
    <row r="283" spans="1:6" x14ac:dyDescent="0.25">
      <c r="A283" s="530"/>
      <c r="B283" s="384" t="s">
        <v>163</v>
      </c>
      <c r="C283" s="412"/>
      <c r="D283" s="412"/>
      <c r="E283" s="414"/>
      <c r="F283" s="414"/>
    </row>
    <row r="284" spans="1:6" x14ac:dyDescent="0.25">
      <c r="A284" s="530"/>
      <c r="B284" s="384" t="s">
        <v>164</v>
      </c>
      <c r="C284" s="412">
        <f>C286+C287</f>
        <v>500000</v>
      </c>
      <c r="D284" s="412">
        <f>D287</f>
        <v>500000</v>
      </c>
      <c r="E284" s="412">
        <f>E286+E287</f>
        <v>1091000</v>
      </c>
      <c r="F284" s="412">
        <f>F286+F287</f>
        <v>1041500</v>
      </c>
    </row>
    <row r="285" spans="1:6" x14ac:dyDescent="0.25">
      <c r="A285" s="530"/>
      <c r="B285" s="384" t="s">
        <v>155</v>
      </c>
      <c r="C285" s="412"/>
      <c r="D285" s="412"/>
      <c r="E285" s="414"/>
      <c r="F285" s="414"/>
    </row>
    <row r="286" spans="1:6" ht="45" x14ac:dyDescent="0.25">
      <c r="A286" s="530"/>
      <c r="B286" s="384" t="s">
        <v>165</v>
      </c>
      <c r="C286" s="412"/>
      <c r="D286" s="412"/>
      <c r="E286" s="412">
        <f>C286+'2016'!E197+'2017'!E213</f>
        <v>291000</v>
      </c>
      <c r="F286" s="412">
        <f>D286+'2017'!E213+41500</f>
        <v>241500</v>
      </c>
    </row>
    <row r="287" spans="1:6" ht="60" x14ac:dyDescent="0.25">
      <c r="A287" s="530"/>
      <c r="B287" s="384" t="s">
        <v>464</v>
      </c>
      <c r="C287" s="412">
        <v>500000</v>
      </c>
      <c r="D287" s="412">
        <v>500000</v>
      </c>
      <c r="E287" s="412">
        <f>C287+'2018'!E223</f>
        <v>800000</v>
      </c>
      <c r="F287" s="412">
        <f>D287+'2018'!E223</f>
        <v>800000</v>
      </c>
    </row>
    <row r="288" spans="1:6" x14ac:dyDescent="0.25">
      <c r="A288" s="530"/>
      <c r="B288" s="384" t="s">
        <v>166</v>
      </c>
      <c r="C288" s="412">
        <f>C290+C291</f>
        <v>1350339.6</v>
      </c>
      <c r="D288" s="412">
        <f>D290+D291</f>
        <v>1350339.6</v>
      </c>
      <c r="E288" s="412">
        <f>E290+E291</f>
        <v>2659222.6</v>
      </c>
      <c r="F288" s="412">
        <f>F290+F291</f>
        <v>2633921.4500000002</v>
      </c>
    </row>
    <row r="289" spans="1:6" x14ac:dyDescent="0.25">
      <c r="A289" s="530"/>
      <c r="B289" s="384" t="s">
        <v>155</v>
      </c>
      <c r="C289" s="412"/>
      <c r="D289" s="412"/>
      <c r="E289" s="414"/>
      <c r="F289" s="414"/>
    </row>
    <row r="290" spans="1:6" ht="45" x14ac:dyDescent="0.25">
      <c r="A290" s="530"/>
      <c r="B290" s="384" t="s">
        <v>167</v>
      </c>
      <c r="C290" s="412">
        <v>493439.8</v>
      </c>
      <c r="D290" s="412">
        <v>493439.8</v>
      </c>
      <c r="E290" s="412">
        <f>C290+'2016'!E200+'2017'!E216+'2018'!E226</f>
        <v>1023439.8</v>
      </c>
      <c r="F290" s="412">
        <f>D290+'2018'!E226+'2017'!E216+51521.05</f>
        <v>974960.85000000009</v>
      </c>
    </row>
    <row r="291" spans="1:6" ht="60" x14ac:dyDescent="0.25">
      <c r="A291" s="530"/>
      <c r="B291" s="384" t="s">
        <v>465</v>
      </c>
      <c r="C291" s="412">
        <v>856899.8</v>
      </c>
      <c r="D291" s="412">
        <v>856899.8</v>
      </c>
      <c r="E291" s="412">
        <f>250883+365000+856899.8+163000</f>
        <v>1635782.8</v>
      </c>
      <c r="F291" s="412">
        <f>D291+'2018'!E227+'2017'!E217+186177.8</f>
        <v>1658960.6</v>
      </c>
    </row>
    <row r="292" spans="1:6" x14ac:dyDescent="0.25">
      <c r="A292" s="530"/>
      <c r="B292" s="384" t="s">
        <v>169</v>
      </c>
      <c r="C292" s="412">
        <f>C294</f>
        <v>829556.8</v>
      </c>
      <c r="D292" s="412">
        <f>D294</f>
        <v>829556.8</v>
      </c>
      <c r="E292" s="412">
        <f>E294</f>
        <v>1379556.8</v>
      </c>
      <c r="F292" s="412">
        <f>F294</f>
        <v>1365241.58</v>
      </c>
    </row>
    <row r="293" spans="1:6" x14ac:dyDescent="0.25">
      <c r="A293" s="530"/>
      <c r="B293" s="384" t="s">
        <v>155</v>
      </c>
      <c r="C293" s="412"/>
      <c r="D293" s="412"/>
      <c r="E293" s="414"/>
      <c r="F293" s="414"/>
    </row>
    <row r="294" spans="1:6" ht="45" x14ac:dyDescent="0.25">
      <c r="A294" s="530"/>
      <c r="B294" s="384" t="s">
        <v>170</v>
      </c>
      <c r="C294" s="412">
        <v>829556.8</v>
      </c>
      <c r="D294" s="412">
        <v>829556.8</v>
      </c>
      <c r="E294" s="412">
        <f>100000+350000+829556.8+100000</f>
        <v>1379556.8</v>
      </c>
      <c r="F294" s="412">
        <f>D294+'2018'!E230+'2017'!E219+85684.78</f>
        <v>1365241.58</v>
      </c>
    </row>
    <row r="295" spans="1:6" x14ac:dyDescent="0.25">
      <c r="A295" s="530"/>
      <c r="B295" s="384" t="s">
        <v>171</v>
      </c>
      <c r="C295" s="412">
        <f>C297</f>
        <v>1100000</v>
      </c>
      <c r="D295" s="412">
        <f>D297</f>
        <v>1100000</v>
      </c>
      <c r="E295" s="412">
        <f>E297</f>
        <v>2006485</v>
      </c>
      <c r="F295" s="412">
        <f>F297</f>
        <v>2006485</v>
      </c>
    </row>
    <row r="296" spans="1:6" x14ac:dyDescent="0.25">
      <c r="A296" s="530"/>
      <c r="B296" s="384" t="s">
        <v>155</v>
      </c>
      <c r="C296" s="412"/>
      <c r="D296" s="412"/>
      <c r="E296" s="414"/>
      <c r="F296" s="414"/>
    </row>
    <row r="297" spans="1:6" ht="51.75" customHeight="1" x14ac:dyDescent="0.25">
      <c r="A297" s="530"/>
      <c r="B297" s="384" t="s">
        <v>172</v>
      </c>
      <c r="C297" s="412">
        <v>1100000</v>
      </c>
      <c r="D297" s="412">
        <v>1100000</v>
      </c>
      <c r="E297" s="412">
        <f>180000+651485+1100000+75000</f>
        <v>2006485</v>
      </c>
      <c r="F297" s="412">
        <f>D297+'2018'!E233+'2017'!E221+75000</f>
        <v>2006485</v>
      </c>
    </row>
    <row r="298" spans="1:6" ht="90" x14ac:dyDescent="0.25">
      <c r="A298" s="530">
        <v>70</v>
      </c>
      <c r="B298" s="384" t="s">
        <v>466</v>
      </c>
      <c r="C298" s="412"/>
      <c r="D298" s="412"/>
      <c r="E298" s="412">
        <f>E299</f>
        <v>53673.2</v>
      </c>
      <c r="F298" s="412">
        <f>F299</f>
        <v>23673.200000000001</v>
      </c>
    </row>
    <row r="299" spans="1:6" s="155" customFormat="1" x14ac:dyDescent="0.25">
      <c r="A299" s="530"/>
      <c r="B299" s="392" t="s">
        <v>13</v>
      </c>
      <c r="C299" s="415"/>
      <c r="D299" s="415"/>
      <c r="E299" s="415">
        <f>'2016'!E207+'2017'!E223+'2018'!E235</f>
        <v>53673.2</v>
      </c>
      <c r="F299" s="415">
        <f>D299+'2018'!E235+'2017'!E223+'2016'!F206</f>
        <v>23673.200000000001</v>
      </c>
    </row>
    <row r="300" spans="1:6" s="155" customFormat="1" ht="49.5" customHeight="1" x14ac:dyDescent="0.25">
      <c r="A300" s="530">
        <v>71</v>
      </c>
      <c r="B300" s="384" t="s">
        <v>664</v>
      </c>
      <c r="C300" s="415"/>
      <c r="D300" s="415"/>
      <c r="E300" s="515">
        <f>E301</f>
        <v>9000</v>
      </c>
      <c r="F300" s="515">
        <f>F301</f>
        <v>9000</v>
      </c>
    </row>
    <row r="301" spans="1:6" s="155" customFormat="1" x14ac:dyDescent="0.25">
      <c r="A301" s="530"/>
      <c r="B301" s="392" t="s">
        <v>13</v>
      </c>
      <c r="C301" s="415"/>
      <c r="D301" s="415"/>
      <c r="E301" s="415">
        <f>'2016'!E209</f>
        <v>9000</v>
      </c>
      <c r="F301" s="415">
        <f>'2016'!F209</f>
        <v>9000</v>
      </c>
    </row>
    <row r="302" spans="1:6" s="155" customFormat="1" ht="60" x14ac:dyDescent="0.25">
      <c r="A302" s="530">
        <v>72</v>
      </c>
      <c r="B302" s="384" t="s">
        <v>174</v>
      </c>
      <c r="C302" s="415"/>
      <c r="D302" s="415"/>
      <c r="E302" s="412">
        <f>E303</f>
        <v>16000</v>
      </c>
      <c r="F302" s="412">
        <f>F303</f>
        <v>16000</v>
      </c>
    </row>
    <row r="303" spans="1:6" s="155" customFormat="1" x14ac:dyDescent="0.25">
      <c r="A303" s="530"/>
      <c r="B303" s="392" t="s">
        <v>13</v>
      </c>
      <c r="C303" s="415"/>
      <c r="D303" s="415"/>
      <c r="E303" s="415">
        <f>'2016'!E211+'2017'!E225</f>
        <v>16000</v>
      </c>
      <c r="F303" s="415">
        <f>D303+'2017'!E225+10000</f>
        <v>16000</v>
      </c>
    </row>
    <row r="304" spans="1:6" ht="60" x14ac:dyDescent="0.25">
      <c r="A304" s="530">
        <v>73</v>
      </c>
      <c r="B304" s="384" t="s">
        <v>178</v>
      </c>
      <c r="C304" s="412">
        <f>C305</f>
        <v>25000</v>
      </c>
      <c r="D304" s="412">
        <f>D305</f>
        <v>25000</v>
      </c>
      <c r="E304" s="412">
        <f>E305</f>
        <v>63971</v>
      </c>
      <c r="F304" s="412">
        <f>F305</f>
        <v>61818</v>
      </c>
    </row>
    <row r="305" spans="1:6" s="155" customFormat="1" x14ac:dyDescent="0.25">
      <c r="A305" s="530"/>
      <c r="B305" s="387" t="s">
        <v>13</v>
      </c>
      <c r="C305" s="415">
        <v>25000</v>
      </c>
      <c r="D305" s="415">
        <v>25000</v>
      </c>
      <c r="E305" s="415">
        <f>C305+'2016'!E213+'2017'!E227+'2018'!E237</f>
        <v>63971</v>
      </c>
      <c r="F305" s="415">
        <f>D305+'2018'!E237+'2017'!E227+12847</f>
        <v>61818</v>
      </c>
    </row>
    <row r="306" spans="1:6" ht="45" x14ac:dyDescent="0.25">
      <c r="A306" s="530">
        <v>74</v>
      </c>
      <c r="B306" s="384" t="s">
        <v>179</v>
      </c>
      <c r="C306" s="412">
        <f>C307</f>
        <v>5000</v>
      </c>
      <c r="D306" s="412">
        <f>D307</f>
        <v>5000</v>
      </c>
      <c r="E306" s="412">
        <f>E307</f>
        <v>19000</v>
      </c>
      <c r="F306" s="412">
        <f>F307</f>
        <v>19000</v>
      </c>
    </row>
    <row r="307" spans="1:6" s="155" customFormat="1" x14ac:dyDescent="0.25">
      <c r="A307" s="530"/>
      <c r="B307" s="387" t="s">
        <v>13</v>
      </c>
      <c r="C307" s="415">
        <v>5000</v>
      </c>
      <c r="D307" s="415">
        <v>5000</v>
      </c>
      <c r="E307" s="415">
        <f>C307+'2016'!E215+'2017'!E229+'2018'!E239</f>
        <v>19000</v>
      </c>
      <c r="F307" s="415">
        <f>D307+'2018'!E239+'2017'!E229+4000</f>
        <v>19000</v>
      </c>
    </row>
    <row r="308" spans="1:6" s="155" customFormat="1" ht="30" x14ac:dyDescent="0.25">
      <c r="A308" s="530">
        <v>75</v>
      </c>
      <c r="B308" s="384" t="s">
        <v>541</v>
      </c>
      <c r="C308" s="415"/>
      <c r="D308" s="415"/>
      <c r="E308" s="412">
        <f>E309</f>
        <v>10000</v>
      </c>
      <c r="F308" s="412">
        <f>F309</f>
        <v>10000</v>
      </c>
    </row>
    <row r="309" spans="1:6" s="155" customFormat="1" x14ac:dyDescent="0.25">
      <c r="A309" s="530"/>
      <c r="B309" s="387" t="s">
        <v>13</v>
      </c>
      <c r="C309" s="415"/>
      <c r="D309" s="415"/>
      <c r="E309" s="415">
        <f>'2017'!E231</f>
        <v>10000</v>
      </c>
      <c r="F309" s="415">
        <v>10000</v>
      </c>
    </row>
    <row r="310" spans="1:6" ht="94.5" customHeight="1" x14ac:dyDescent="0.25">
      <c r="A310" s="530">
        <v>76</v>
      </c>
      <c r="B310" s="384" t="s">
        <v>467</v>
      </c>
      <c r="C310" s="412"/>
      <c r="D310" s="412"/>
      <c r="E310" s="412">
        <f>E311</f>
        <v>27500</v>
      </c>
      <c r="F310" s="412">
        <f>F311</f>
        <v>28477.200000000001</v>
      </c>
    </row>
    <row r="311" spans="1:6" s="155" customFormat="1" x14ac:dyDescent="0.25">
      <c r="A311" s="530"/>
      <c r="B311" s="387" t="s">
        <v>13</v>
      </c>
      <c r="C311" s="415"/>
      <c r="D311" s="415"/>
      <c r="E311" s="415">
        <f>'2016'!E217+'2017'!E233+'2018'!E241</f>
        <v>27500</v>
      </c>
      <c r="F311" s="415">
        <f>D311+'2018'!E241+'2017'!E233+17477.2</f>
        <v>28477.200000000001</v>
      </c>
    </row>
    <row r="312" spans="1:6" ht="90" x14ac:dyDescent="0.25">
      <c r="A312" s="530">
        <v>77</v>
      </c>
      <c r="B312" s="384" t="s">
        <v>181</v>
      </c>
      <c r="C312" s="412">
        <f>C313</f>
        <v>5000</v>
      </c>
      <c r="D312" s="412">
        <f>D313</f>
        <v>5000</v>
      </c>
      <c r="E312" s="412">
        <f>E313</f>
        <v>22400</v>
      </c>
      <c r="F312" s="412">
        <f>F313</f>
        <v>22400</v>
      </c>
    </row>
    <row r="313" spans="1:6" s="155" customFormat="1" x14ac:dyDescent="0.25">
      <c r="A313" s="530"/>
      <c r="B313" s="387" t="s">
        <v>13</v>
      </c>
      <c r="C313" s="415">
        <v>5000</v>
      </c>
      <c r="D313" s="415">
        <v>5000</v>
      </c>
      <c r="E313" s="415">
        <f>C313+'2016'!E219+'2017'!E235+'2018'!E243</f>
        <v>22400</v>
      </c>
      <c r="F313" s="415">
        <f>D313+'2018'!E243+'2017'!E235+10000</f>
        <v>22400</v>
      </c>
    </row>
    <row r="314" spans="1:6" ht="75" x14ac:dyDescent="0.25">
      <c r="A314" s="530">
        <v>78</v>
      </c>
      <c r="B314" s="384" t="s">
        <v>182</v>
      </c>
      <c r="C314" s="412">
        <f>C315</f>
        <v>200000</v>
      </c>
      <c r="D314" s="412">
        <f>D315</f>
        <v>200000</v>
      </c>
      <c r="E314" s="412">
        <f>E315</f>
        <v>374812</v>
      </c>
      <c r="F314" s="412">
        <f>F315</f>
        <v>364812</v>
      </c>
    </row>
    <row r="315" spans="1:6" s="155" customFormat="1" x14ac:dyDescent="0.25">
      <c r="A315" s="530"/>
      <c r="B315" s="387" t="s">
        <v>13</v>
      </c>
      <c r="C315" s="415">
        <v>200000</v>
      </c>
      <c r="D315" s="415">
        <v>200000</v>
      </c>
      <c r="E315" s="415">
        <f>C315+'2016'!E221+'2017'!E237+'2018'!E245</f>
        <v>374812</v>
      </c>
      <c r="F315" s="415">
        <f>D315+'2018'!E245+'2017'!E237+30000</f>
        <v>364812</v>
      </c>
    </row>
    <row r="316" spans="1:6" ht="111.75" customHeight="1" x14ac:dyDescent="0.25">
      <c r="A316" s="530">
        <v>79</v>
      </c>
      <c r="B316" s="384" t="s">
        <v>183</v>
      </c>
      <c r="C316" s="412">
        <f>C317</f>
        <v>50000</v>
      </c>
      <c r="D316" s="412">
        <f>D317</f>
        <v>50000</v>
      </c>
      <c r="E316" s="412">
        <f>E317</f>
        <v>149068</v>
      </c>
      <c r="F316" s="412">
        <f>F317</f>
        <v>149068</v>
      </c>
    </row>
    <row r="317" spans="1:6" s="155" customFormat="1" x14ac:dyDescent="0.25">
      <c r="A317" s="530"/>
      <c r="B317" s="387" t="s">
        <v>13</v>
      </c>
      <c r="C317" s="415">
        <v>50000</v>
      </c>
      <c r="D317" s="415">
        <v>50000</v>
      </c>
      <c r="E317" s="415">
        <f>C317+'2016'!E223+'2017'!E239+'2018'!E247</f>
        <v>149068</v>
      </c>
      <c r="F317" s="415">
        <f>D317+'2018'!E247+'2017'!E239+35000</f>
        <v>149068</v>
      </c>
    </row>
    <row r="318" spans="1:6" ht="30" x14ac:dyDescent="0.25">
      <c r="A318" s="495">
        <v>80</v>
      </c>
      <c r="B318" s="434" t="s">
        <v>468</v>
      </c>
      <c r="C318" s="515">
        <f>C319</f>
        <v>98000.4</v>
      </c>
      <c r="D318" s="515">
        <f>D319</f>
        <v>98000.4</v>
      </c>
      <c r="E318" s="515">
        <f>E319</f>
        <v>4922778.2</v>
      </c>
      <c r="F318" s="515">
        <f>F319</f>
        <v>5117754.6900000004</v>
      </c>
    </row>
    <row r="319" spans="1:6" s="155" customFormat="1" x14ac:dyDescent="0.25">
      <c r="A319" s="530"/>
      <c r="B319" s="387" t="s">
        <v>13</v>
      </c>
      <c r="C319" s="415">
        <f>C321</f>
        <v>98000.4</v>
      </c>
      <c r="D319" s="415">
        <f>D321</f>
        <v>98000.4</v>
      </c>
      <c r="E319" s="415">
        <f>C319+'2016'!E225+'2017'!E241+'2018'!E249</f>
        <v>4922778.2</v>
      </c>
      <c r="F319" s="415">
        <f>D319+'2018'!E249+1981456.05+1722641.24</f>
        <v>5117754.6900000004</v>
      </c>
    </row>
    <row r="320" spans="1:6" s="155" customFormat="1" x14ac:dyDescent="0.25">
      <c r="A320" s="530"/>
      <c r="B320" s="384" t="s">
        <v>163</v>
      </c>
      <c r="C320" s="415"/>
      <c r="D320" s="415"/>
      <c r="E320" s="415"/>
      <c r="F320" s="415"/>
    </row>
    <row r="321" spans="1:7" s="155" customFormat="1" ht="75" x14ac:dyDescent="0.25">
      <c r="A321" s="530"/>
      <c r="B321" s="384" t="s">
        <v>665</v>
      </c>
      <c r="C321" s="412">
        <v>98000.4</v>
      </c>
      <c r="D321" s="412">
        <v>98000.4</v>
      </c>
      <c r="E321" s="412"/>
      <c r="F321" s="412"/>
    </row>
    <row r="322" spans="1:7" s="155" customFormat="1" ht="30" x14ac:dyDescent="0.25">
      <c r="A322" s="495">
        <v>81</v>
      </c>
      <c r="B322" s="434" t="s">
        <v>633</v>
      </c>
      <c r="C322" s="515"/>
      <c r="D322" s="535"/>
      <c r="E322" s="515">
        <f>E323</f>
        <v>5000</v>
      </c>
      <c r="F322" s="515">
        <f>F323</f>
        <v>5000</v>
      </c>
    </row>
    <row r="323" spans="1:7" s="155" customFormat="1" x14ac:dyDescent="0.25">
      <c r="A323" s="530"/>
      <c r="B323" s="387" t="s">
        <v>13</v>
      </c>
      <c r="C323" s="412"/>
      <c r="D323" s="415"/>
      <c r="E323" s="415">
        <f>'2016'!E227</f>
        <v>5000</v>
      </c>
      <c r="F323" s="415">
        <v>5000</v>
      </c>
    </row>
    <row r="324" spans="1:7" ht="45" x14ac:dyDescent="0.25">
      <c r="A324" s="530">
        <v>82</v>
      </c>
      <c r="B324" s="384" t="s">
        <v>185</v>
      </c>
      <c r="C324" s="412">
        <f>C325</f>
        <v>204802</v>
      </c>
      <c r="D324" s="412">
        <f>D325</f>
        <v>204802</v>
      </c>
      <c r="E324" s="412">
        <f>E325</f>
        <v>715461</v>
      </c>
      <c r="F324" s="412">
        <f>F325</f>
        <v>669390.24</v>
      </c>
    </row>
    <row r="325" spans="1:7" s="155" customFormat="1" x14ac:dyDescent="0.25">
      <c r="A325" s="530"/>
      <c r="B325" s="387" t="s">
        <v>13</v>
      </c>
      <c r="C325" s="415">
        <v>204802</v>
      </c>
      <c r="D325" s="415">
        <v>204802</v>
      </c>
      <c r="E325" s="415">
        <f>C325+'2016'!E229+'2017'!E243+'2018'!E261</f>
        <v>715461</v>
      </c>
      <c r="F325" s="415">
        <f>D325+'2018'!E261+152637+119755.24</f>
        <v>669390.24</v>
      </c>
    </row>
    <row r="326" spans="1:7" s="155" customFormat="1" ht="30" x14ac:dyDescent="0.25">
      <c r="A326" s="530">
        <v>83</v>
      </c>
      <c r="B326" s="384" t="s">
        <v>626</v>
      </c>
      <c r="C326" s="415"/>
      <c r="D326" s="415"/>
      <c r="E326" s="417"/>
      <c r="F326" s="417"/>
      <c r="G326" s="540"/>
    </row>
    <row r="327" spans="1:7" s="155" customFormat="1" ht="31.5" x14ac:dyDescent="0.25">
      <c r="A327" s="530"/>
      <c r="B327" s="536" t="s">
        <v>627</v>
      </c>
      <c r="C327" s="415"/>
      <c r="D327" s="415"/>
      <c r="E327" s="412">
        <v>0</v>
      </c>
      <c r="F327" s="412">
        <v>0</v>
      </c>
    </row>
    <row r="328" spans="1:7" s="155" customFormat="1" ht="31.5" x14ac:dyDescent="0.25">
      <c r="A328" s="530"/>
      <c r="B328" s="536" t="s">
        <v>628</v>
      </c>
      <c r="C328" s="415"/>
      <c r="D328" s="415"/>
      <c r="E328" s="412">
        <v>0</v>
      </c>
      <c r="F328" s="412">
        <v>0</v>
      </c>
    </row>
    <row r="329" spans="1:7" s="155" customFormat="1" ht="31.5" x14ac:dyDescent="0.25">
      <c r="A329" s="530"/>
      <c r="B329" s="536" t="s">
        <v>629</v>
      </c>
      <c r="C329" s="415"/>
      <c r="D329" s="415"/>
      <c r="E329" s="412">
        <v>0</v>
      </c>
      <c r="F329" s="412">
        <v>0</v>
      </c>
    </row>
    <row r="330" spans="1:7" ht="75" x14ac:dyDescent="0.25">
      <c r="A330" s="530">
        <v>84</v>
      </c>
      <c r="B330" s="384" t="s">
        <v>187</v>
      </c>
      <c r="C330" s="412"/>
      <c r="D330" s="412"/>
      <c r="E330" s="412">
        <f>E331</f>
        <v>27500</v>
      </c>
      <c r="F330" s="412">
        <f>F331</f>
        <v>27500</v>
      </c>
    </row>
    <row r="331" spans="1:7" s="155" customFormat="1" x14ac:dyDescent="0.25">
      <c r="A331" s="530"/>
      <c r="B331" s="387" t="s">
        <v>22</v>
      </c>
      <c r="C331" s="415"/>
      <c r="D331" s="415"/>
      <c r="E331" s="415">
        <f>'2016'!E232+'2017'!E246+'2018'!E263</f>
        <v>27500</v>
      </c>
      <c r="F331" s="415">
        <v>27500</v>
      </c>
    </row>
    <row r="332" spans="1:7" ht="90" x14ac:dyDescent="0.25">
      <c r="A332" s="530">
        <v>85</v>
      </c>
      <c r="B332" s="384" t="s">
        <v>188</v>
      </c>
      <c r="C332" s="412">
        <f>C333</f>
        <v>6000</v>
      </c>
      <c r="D332" s="412">
        <f>D333</f>
        <v>6000</v>
      </c>
      <c r="E332" s="412">
        <f>E333</f>
        <v>23500</v>
      </c>
      <c r="F332" s="412">
        <f>F333</f>
        <v>23500</v>
      </c>
    </row>
    <row r="333" spans="1:7" s="155" customFormat="1" x14ac:dyDescent="0.25">
      <c r="A333" s="530"/>
      <c r="B333" s="387" t="s">
        <v>22</v>
      </c>
      <c r="C333" s="415">
        <v>6000</v>
      </c>
      <c r="D333" s="415">
        <v>6000</v>
      </c>
      <c r="E333" s="415">
        <f>C333+'2016'!E234+'2017'!E248+'2018'!E265</f>
        <v>23500</v>
      </c>
      <c r="F333" s="415">
        <v>23500</v>
      </c>
    </row>
    <row r="334" spans="1:7" ht="60" x14ac:dyDescent="0.25">
      <c r="A334" s="530">
        <v>86</v>
      </c>
      <c r="B334" s="384" t="s">
        <v>189</v>
      </c>
      <c r="C334" s="412">
        <f>C335</f>
        <v>15000</v>
      </c>
      <c r="D334" s="412">
        <f>D335</f>
        <v>14985</v>
      </c>
      <c r="E334" s="412">
        <f>E335</f>
        <v>40000</v>
      </c>
      <c r="F334" s="412">
        <f>F335</f>
        <v>39978</v>
      </c>
    </row>
    <row r="335" spans="1:7" s="155" customFormat="1" ht="17.25" customHeight="1" x14ac:dyDescent="0.25">
      <c r="A335" s="530"/>
      <c r="B335" s="387" t="s">
        <v>22</v>
      </c>
      <c r="C335" s="415">
        <v>15000</v>
      </c>
      <c r="D335" s="415">
        <v>14985</v>
      </c>
      <c r="E335" s="415">
        <f>C335+'2016'!E236+'2017'!E250+'2018'!E267</f>
        <v>40000</v>
      </c>
      <c r="F335" s="415">
        <v>39978</v>
      </c>
    </row>
    <row r="336" spans="1:7" s="155" customFormat="1" ht="34.5" customHeight="1" x14ac:dyDescent="0.25">
      <c r="A336" s="530">
        <v>87</v>
      </c>
      <c r="B336" s="384" t="s">
        <v>644</v>
      </c>
      <c r="C336" s="415"/>
      <c r="D336" s="415"/>
      <c r="E336" s="415"/>
      <c r="F336" s="415"/>
    </row>
    <row r="337" spans="1:6" ht="154.5" customHeight="1" x14ac:dyDescent="0.25">
      <c r="A337" s="530">
        <v>88</v>
      </c>
      <c r="B337" s="384" t="s">
        <v>190</v>
      </c>
      <c r="C337" s="412">
        <f>C338</f>
        <v>25000</v>
      </c>
      <c r="D337" s="412">
        <f>D338</f>
        <v>25000</v>
      </c>
      <c r="E337" s="412">
        <f>E338</f>
        <v>45000</v>
      </c>
      <c r="F337" s="412">
        <f>F338</f>
        <v>45000</v>
      </c>
    </row>
    <row r="338" spans="1:6" s="155" customFormat="1" x14ac:dyDescent="0.25">
      <c r="A338" s="530"/>
      <c r="B338" s="387" t="s">
        <v>22</v>
      </c>
      <c r="C338" s="415">
        <v>25000</v>
      </c>
      <c r="D338" s="415">
        <v>25000</v>
      </c>
      <c r="E338" s="415">
        <f>C338+'2018'!E269</f>
        <v>45000</v>
      </c>
      <c r="F338" s="415">
        <v>45000</v>
      </c>
    </row>
    <row r="339" spans="1:6" s="155" customFormat="1" ht="19.5" customHeight="1" x14ac:dyDescent="0.25">
      <c r="A339" s="530"/>
      <c r="B339" s="387" t="s">
        <v>139</v>
      </c>
      <c r="C339" s="415"/>
      <c r="D339" s="412"/>
      <c r="E339" s="415">
        <f>'2016'!E239+'2017'!E252</f>
        <v>47000</v>
      </c>
      <c r="F339" s="415">
        <f>'2016'!F239+'2017'!F252</f>
        <v>1048418.7</v>
      </c>
    </row>
    <row r="340" spans="1:6" s="155" customFormat="1" ht="90" x14ac:dyDescent="0.25">
      <c r="A340" s="530">
        <v>89</v>
      </c>
      <c r="B340" s="384" t="s">
        <v>202</v>
      </c>
      <c r="C340" s="412"/>
      <c r="D340" s="412"/>
      <c r="E340" s="412">
        <f>E341</f>
        <v>10000</v>
      </c>
      <c r="F340" s="412">
        <f>F341</f>
        <v>10000</v>
      </c>
    </row>
    <row r="341" spans="1:6" s="155" customFormat="1" x14ac:dyDescent="0.25">
      <c r="A341" s="530"/>
      <c r="B341" s="387" t="s">
        <v>22</v>
      </c>
      <c r="C341" s="415"/>
      <c r="D341" s="412"/>
      <c r="E341" s="415">
        <f>C341+'2017'!E254+'2018'!E271</f>
        <v>10000</v>
      </c>
      <c r="F341" s="415">
        <v>10000</v>
      </c>
    </row>
    <row r="342" spans="1:6" s="155" customFormat="1" ht="60" x14ac:dyDescent="0.25">
      <c r="A342" s="530">
        <v>90</v>
      </c>
      <c r="B342" s="384" t="s">
        <v>191</v>
      </c>
      <c r="C342" s="415"/>
      <c r="D342" s="412"/>
      <c r="E342" s="412">
        <f>E343</f>
        <v>7000</v>
      </c>
      <c r="F342" s="412">
        <f>F343</f>
        <v>7000</v>
      </c>
    </row>
    <row r="343" spans="1:6" s="155" customFormat="1" x14ac:dyDescent="0.25">
      <c r="A343" s="530"/>
      <c r="B343" s="387" t="s">
        <v>22</v>
      </c>
      <c r="C343" s="415"/>
      <c r="D343" s="412"/>
      <c r="E343" s="415">
        <f>'2016'!E241+'2017'!E256</f>
        <v>7000</v>
      </c>
      <c r="F343" s="415">
        <v>7000</v>
      </c>
    </row>
    <row r="344" spans="1:6" ht="90" x14ac:dyDescent="0.25">
      <c r="A344" s="530">
        <v>91</v>
      </c>
      <c r="B344" s="384" t="s">
        <v>192</v>
      </c>
      <c r="C344" s="412"/>
      <c r="D344" s="412"/>
      <c r="E344" s="412">
        <f>E345</f>
        <v>50000</v>
      </c>
      <c r="F344" s="412">
        <f>F345</f>
        <v>49533</v>
      </c>
    </row>
    <row r="345" spans="1:6" s="155" customFormat="1" x14ac:dyDescent="0.25">
      <c r="A345" s="530"/>
      <c r="B345" s="387" t="s">
        <v>22</v>
      </c>
      <c r="C345" s="415"/>
      <c r="D345" s="415"/>
      <c r="E345" s="415">
        <f>'2016'!E243+'2017'!E258+'2018'!E273</f>
        <v>50000</v>
      </c>
      <c r="F345" s="415">
        <f>'2016'!F243+'2017'!F258+'2018'!F273</f>
        <v>49533</v>
      </c>
    </row>
    <row r="346" spans="1:6" s="155" customFormat="1" ht="75" x14ac:dyDescent="0.25">
      <c r="A346" s="530">
        <v>92</v>
      </c>
      <c r="B346" s="384" t="s">
        <v>645</v>
      </c>
      <c r="C346" s="415"/>
      <c r="D346" s="415"/>
      <c r="E346" s="412">
        <f>E347</f>
        <v>15000</v>
      </c>
      <c r="F346" s="412">
        <f>F347</f>
        <v>132000</v>
      </c>
    </row>
    <row r="347" spans="1:6" s="155" customFormat="1" ht="19.5" customHeight="1" x14ac:dyDescent="0.25">
      <c r="A347" s="530"/>
      <c r="B347" s="387" t="s">
        <v>139</v>
      </c>
      <c r="C347" s="415"/>
      <c r="D347" s="415"/>
      <c r="E347" s="415">
        <f>'2016'!E245</f>
        <v>15000</v>
      </c>
      <c r="F347" s="415">
        <f>'2016'!F245</f>
        <v>132000</v>
      </c>
    </row>
    <row r="348" spans="1:6" ht="75" x14ac:dyDescent="0.25">
      <c r="A348" s="530">
        <v>93</v>
      </c>
      <c r="B348" s="384" t="s">
        <v>194</v>
      </c>
      <c r="C348" s="412">
        <f>C349</f>
        <v>12000</v>
      </c>
      <c r="D348" s="412">
        <f>D349</f>
        <v>12000</v>
      </c>
      <c r="E348" s="412">
        <f>E349</f>
        <v>48000</v>
      </c>
      <c r="F348" s="412">
        <f>F349</f>
        <v>47558</v>
      </c>
    </row>
    <row r="349" spans="1:6" s="155" customFormat="1" x14ac:dyDescent="0.25">
      <c r="A349" s="530"/>
      <c r="B349" s="387" t="s">
        <v>22</v>
      </c>
      <c r="C349" s="415">
        <v>12000</v>
      </c>
      <c r="D349" s="415">
        <v>12000</v>
      </c>
      <c r="E349" s="415">
        <f>C349+'2016'!E247+'2017'!E260+'2018'!E275</f>
        <v>48000</v>
      </c>
      <c r="F349" s="415">
        <v>47558</v>
      </c>
    </row>
    <row r="350" spans="1:6" ht="45" x14ac:dyDescent="0.25">
      <c r="A350" s="530">
        <v>94</v>
      </c>
      <c r="B350" s="384" t="s">
        <v>195</v>
      </c>
      <c r="C350" s="412">
        <f>C351</f>
        <v>5000</v>
      </c>
      <c r="D350" s="412">
        <f>D351</f>
        <v>5000</v>
      </c>
      <c r="E350" s="412">
        <f>E351</f>
        <v>20000</v>
      </c>
      <c r="F350" s="412">
        <f>F351</f>
        <v>20000</v>
      </c>
    </row>
    <row r="351" spans="1:6" s="155" customFormat="1" x14ac:dyDescent="0.25">
      <c r="A351" s="530"/>
      <c r="B351" s="387" t="s">
        <v>22</v>
      </c>
      <c r="C351" s="415">
        <v>5000</v>
      </c>
      <c r="D351" s="415">
        <v>5000</v>
      </c>
      <c r="E351" s="415">
        <f>C351+'2016'!E249+'2017'!E262+'2018'!E277</f>
        <v>20000</v>
      </c>
      <c r="F351" s="415">
        <v>20000</v>
      </c>
    </row>
    <row r="352" spans="1:6" ht="80.25" customHeight="1" x14ac:dyDescent="0.25">
      <c r="A352" s="530">
        <v>95</v>
      </c>
      <c r="B352" s="384" t="s">
        <v>694</v>
      </c>
      <c r="C352" s="412">
        <f>C353</f>
        <v>3000</v>
      </c>
      <c r="D352" s="412">
        <f>D353</f>
        <v>3015</v>
      </c>
      <c r="E352" s="412">
        <f>E353</f>
        <v>12000</v>
      </c>
      <c r="F352" s="412">
        <f>F353</f>
        <v>12015</v>
      </c>
    </row>
    <row r="353" spans="1:7" s="155" customFormat="1" x14ac:dyDescent="0.25">
      <c r="A353" s="530"/>
      <c r="B353" s="387" t="s">
        <v>22</v>
      </c>
      <c r="C353" s="415">
        <v>3000</v>
      </c>
      <c r="D353" s="415">
        <v>3015</v>
      </c>
      <c r="E353" s="415">
        <f>C353+'2016'!E251+'2017'!E264+'2018'!E279</f>
        <v>12000</v>
      </c>
      <c r="F353" s="415">
        <v>12015</v>
      </c>
    </row>
    <row r="354" spans="1:7" s="155" customFormat="1" ht="45" x14ac:dyDescent="0.25">
      <c r="A354" s="530">
        <v>96</v>
      </c>
      <c r="B354" s="384" t="s">
        <v>646</v>
      </c>
      <c r="C354" s="415"/>
      <c r="D354" s="415"/>
      <c r="E354" s="415"/>
      <c r="F354" s="415"/>
      <c r="G354" s="540"/>
    </row>
    <row r="355" spans="1:7" ht="75" x14ac:dyDescent="0.25">
      <c r="A355" s="530">
        <v>97</v>
      </c>
      <c r="B355" s="384" t="s">
        <v>187</v>
      </c>
      <c r="C355" s="412">
        <f>C356</f>
        <v>19200</v>
      </c>
      <c r="D355" s="412">
        <f>D356</f>
        <v>19200</v>
      </c>
      <c r="E355" s="412">
        <f>E356</f>
        <v>103630</v>
      </c>
      <c r="F355" s="412">
        <f>F356</f>
        <v>103630</v>
      </c>
    </row>
    <row r="356" spans="1:7" s="155" customFormat="1" x14ac:dyDescent="0.25">
      <c r="A356" s="530"/>
      <c r="B356" s="387" t="s">
        <v>22</v>
      </c>
      <c r="C356" s="415">
        <v>19200</v>
      </c>
      <c r="D356" s="415">
        <v>19200</v>
      </c>
      <c r="E356" s="415">
        <f>C356+'2016'!E253+'2017'!E266+'2018'!E281</f>
        <v>103630</v>
      </c>
      <c r="F356" s="415">
        <v>103630</v>
      </c>
    </row>
    <row r="357" spans="1:7" ht="90" x14ac:dyDescent="0.25">
      <c r="A357" s="530">
        <v>98</v>
      </c>
      <c r="B357" s="384" t="s">
        <v>188</v>
      </c>
      <c r="C357" s="412"/>
      <c r="D357" s="412"/>
      <c r="E357" s="412">
        <f>E358</f>
        <v>25550</v>
      </c>
      <c r="F357" s="412">
        <f>F358</f>
        <v>24700</v>
      </c>
    </row>
    <row r="358" spans="1:7" s="155" customFormat="1" x14ac:dyDescent="0.25">
      <c r="A358" s="530"/>
      <c r="B358" s="387" t="s">
        <v>22</v>
      </c>
      <c r="C358" s="415"/>
      <c r="D358" s="415"/>
      <c r="E358" s="415">
        <f>C358+'2016'!E255+'2017'!E268+'2018'!E283</f>
        <v>25550</v>
      </c>
      <c r="F358" s="415">
        <v>24700</v>
      </c>
    </row>
    <row r="359" spans="1:7" ht="60" x14ac:dyDescent="0.25">
      <c r="A359" s="530">
        <v>99</v>
      </c>
      <c r="B359" s="384" t="s">
        <v>198</v>
      </c>
      <c r="C359" s="412"/>
      <c r="D359" s="412"/>
      <c r="E359" s="412">
        <f>E360</f>
        <v>35900</v>
      </c>
      <c r="F359" s="412">
        <f>F360</f>
        <v>27900</v>
      </c>
    </row>
    <row r="360" spans="1:7" s="155" customFormat="1" x14ac:dyDescent="0.25">
      <c r="A360" s="530"/>
      <c r="B360" s="387" t="s">
        <v>22</v>
      </c>
      <c r="C360" s="415"/>
      <c r="D360" s="415"/>
      <c r="E360" s="415">
        <f>C360+'2016'!E257+'2017'!E270+'2018'!E285</f>
        <v>35900</v>
      </c>
      <c r="F360" s="415">
        <v>27900</v>
      </c>
    </row>
    <row r="361" spans="1:7" ht="60" x14ac:dyDescent="0.25">
      <c r="A361" s="530">
        <v>100</v>
      </c>
      <c r="B361" s="384" t="s">
        <v>199</v>
      </c>
      <c r="C361" s="412">
        <f>C362</f>
        <v>10000</v>
      </c>
      <c r="D361" s="412">
        <f>D362</f>
        <v>9970</v>
      </c>
      <c r="E361" s="412">
        <f>E362</f>
        <v>40000</v>
      </c>
      <c r="F361" s="412">
        <f>F362</f>
        <v>39959.730000000003</v>
      </c>
    </row>
    <row r="362" spans="1:7" s="155" customFormat="1" x14ac:dyDescent="0.25">
      <c r="A362" s="530"/>
      <c r="B362" s="387" t="s">
        <v>22</v>
      </c>
      <c r="C362" s="415">
        <v>10000</v>
      </c>
      <c r="D362" s="415">
        <v>9970</v>
      </c>
      <c r="E362" s="415">
        <f>C362+'2016'!E259+'2017'!E272+'2018'!E287</f>
        <v>40000</v>
      </c>
      <c r="F362" s="415">
        <v>39959.730000000003</v>
      </c>
    </row>
    <row r="363" spans="1:7" s="155" customFormat="1" ht="30" x14ac:dyDescent="0.25">
      <c r="A363" s="530">
        <v>101</v>
      </c>
      <c r="B363" s="384" t="s">
        <v>391</v>
      </c>
      <c r="C363" s="415"/>
      <c r="D363" s="415"/>
      <c r="E363" s="415"/>
      <c r="F363" s="415"/>
    </row>
    <row r="364" spans="1:7" s="155" customFormat="1" x14ac:dyDescent="0.25">
      <c r="A364" s="530"/>
      <c r="B364" s="387" t="s">
        <v>22</v>
      </c>
      <c r="C364" s="415"/>
      <c r="D364" s="415"/>
      <c r="E364" s="415"/>
      <c r="F364" s="415"/>
    </row>
    <row r="365" spans="1:7" ht="90" x14ac:dyDescent="0.25">
      <c r="A365" s="530">
        <v>102</v>
      </c>
      <c r="B365" s="384" t="s">
        <v>200</v>
      </c>
      <c r="C365" s="412">
        <f>C366</f>
        <v>5000</v>
      </c>
      <c r="D365" s="412">
        <f>D366</f>
        <v>3756.54</v>
      </c>
      <c r="E365" s="412">
        <f>E366</f>
        <v>55000</v>
      </c>
      <c r="F365" s="412">
        <f>F366</f>
        <v>42788.74</v>
      </c>
    </row>
    <row r="366" spans="1:7" s="155" customFormat="1" x14ac:dyDescent="0.25">
      <c r="A366" s="530"/>
      <c r="B366" s="387" t="s">
        <v>22</v>
      </c>
      <c r="C366" s="415">
        <v>5000</v>
      </c>
      <c r="D366" s="415">
        <v>3756.54</v>
      </c>
      <c r="E366" s="415">
        <f>C366+'2016'!E262+'2017'!E274+'2018'!E289</f>
        <v>55000</v>
      </c>
      <c r="F366" s="415">
        <v>42788.74</v>
      </c>
    </row>
    <row r="367" spans="1:7" s="155" customFormat="1" ht="60" x14ac:dyDescent="0.25">
      <c r="A367" s="530">
        <v>103</v>
      </c>
      <c r="B367" s="384" t="s">
        <v>191</v>
      </c>
      <c r="C367" s="415"/>
      <c r="D367" s="415"/>
      <c r="E367" s="412">
        <f>E368</f>
        <v>7000</v>
      </c>
      <c r="F367" s="412">
        <f>F368</f>
        <v>6755.7</v>
      </c>
    </row>
    <row r="368" spans="1:7" s="155" customFormat="1" x14ac:dyDescent="0.25">
      <c r="A368" s="530"/>
      <c r="B368" s="387" t="s">
        <v>22</v>
      </c>
      <c r="C368" s="415"/>
      <c r="D368" s="415"/>
      <c r="E368" s="415">
        <f>'2016'!E264+'2017'!E276</f>
        <v>7000</v>
      </c>
      <c r="F368" s="415">
        <v>6755.7</v>
      </c>
    </row>
    <row r="369" spans="1:7" ht="90" x14ac:dyDescent="0.25">
      <c r="A369" s="530">
        <v>104</v>
      </c>
      <c r="B369" s="384" t="s">
        <v>192</v>
      </c>
      <c r="C369" s="412"/>
      <c r="D369" s="412">
        <f>D370</f>
        <v>500</v>
      </c>
      <c r="E369" s="412">
        <f>E370</f>
        <v>50000</v>
      </c>
      <c r="F369" s="412">
        <f>F370</f>
        <v>50485.07</v>
      </c>
    </row>
    <row r="370" spans="1:7" s="155" customFormat="1" x14ac:dyDescent="0.25">
      <c r="A370" s="530"/>
      <c r="B370" s="387" t="s">
        <v>22</v>
      </c>
      <c r="C370" s="415"/>
      <c r="D370" s="415">
        <v>500</v>
      </c>
      <c r="E370" s="415">
        <f>C370+'2016'!E266+'2017'!E278+'2018'!E291</f>
        <v>50000</v>
      </c>
      <c r="F370" s="415">
        <v>50485.07</v>
      </c>
    </row>
    <row r="371" spans="1:7" s="155" customFormat="1" ht="75" x14ac:dyDescent="0.25">
      <c r="A371" s="530">
        <v>105</v>
      </c>
      <c r="B371" s="384" t="s">
        <v>194</v>
      </c>
      <c r="C371" s="415"/>
      <c r="D371" s="415"/>
      <c r="E371" s="412">
        <f>E372</f>
        <v>40000</v>
      </c>
      <c r="F371" s="412">
        <f>F372</f>
        <v>34765</v>
      </c>
    </row>
    <row r="372" spans="1:7" s="155" customFormat="1" x14ac:dyDescent="0.25">
      <c r="A372" s="530"/>
      <c r="B372" s="387" t="s">
        <v>22</v>
      </c>
      <c r="C372" s="415"/>
      <c r="D372" s="415"/>
      <c r="E372" s="415">
        <f>'2016'!E268+'2017'!E280</f>
        <v>40000</v>
      </c>
      <c r="F372" s="415">
        <v>34765</v>
      </c>
    </row>
    <row r="373" spans="1:7" ht="45" x14ac:dyDescent="0.25">
      <c r="A373" s="530">
        <v>106</v>
      </c>
      <c r="B373" s="384" t="s">
        <v>195</v>
      </c>
      <c r="C373" s="412"/>
      <c r="D373" s="412"/>
      <c r="E373" s="412">
        <f>E374</f>
        <v>15000</v>
      </c>
      <c r="F373" s="412">
        <f>F374</f>
        <v>13000</v>
      </c>
    </row>
    <row r="374" spans="1:7" s="155" customFormat="1" x14ac:dyDescent="0.25">
      <c r="A374" s="530"/>
      <c r="B374" s="387" t="s">
        <v>22</v>
      </c>
      <c r="C374" s="415"/>
      <c r="D374" s="415"/>
      <c r="E374" s="415">
        <f>C374+'2016'!E270+'2017'!E282+'2018'!E293</f>
        <v>15000</v>
      </c>
      <c r="F374" s="415">
        <v>13000</v>
      </c>
    </row>
    <row r="375" spans="1:7" s="155" customFormat="1" ht="60" x14ac:dyDescent="0.25">
      <c r="A375" s="530">
        <v>107</v>
      </c>
      <c r="B375" s="384" t="s">
        <v>291</v>
      </c>
      <c r="C375" s="412"/>
      <c r="D375" s="412"/>
      <c r="E375" s="412">
        <f>E376</f>
        <v>12000</v>
      </c>
      <c r="F375" s="412">
        <f>F376</f>
        <v>15000</v>
      </c>
    </row>
    <row r="376" spans="1:7" s="155" customFormat="1" x14ac:dyDescent="0.25">
      <c r="A376" s="530"/>
      <c r="B376" s="387" t="s">
        <v>22</v>
      </c>
      <c r="C376" s="415"/>
      <c r="D376" s="415"/>
      <c r="E376" s="415">
        <f>'2017'!E284+'2018'!E295</f>
        <v>12000</v>
      </c>
      <c r="F376" s="415">
        <v>15000</v>
      </c>
    </row>
    <row r="377" spans="1:7" s="155" customFormat="1" ht="75" x14ac:dyDescent="0.25">
      <c r="A377" s="530">
        <v>108</v>
      </c>
      <c r="B377" s="384" t="s">
        <v>187</v>
      </c>
      <c r="C377" s="412">
        <f>C378</f>
        <v>11910</v>
      </c>
      <c r="D377" s="412">
        <f>D378</f>
        <v>11910</v>
      </c>
      <c r="E377" s="412">
        <f>E378</f>
        <v>15910</v>
      </c>
      <c r="F377" s="412">
        <f>F378</f>
        <v>15910</v>
      </c>
      <c r="G377" s="540"/>
    </row>
    <row r="378" spans="1:7" s="155" customFormat="1" x14ac:dyDescent="0.25">
      <c r="A378" s="530"/>
      <c r="B378" s="387" t="s">
        <v>22</v>
      </c>
      <c r="C378" s="415">
        <v>11910</v>
      </c>
      <c r="D378" s="415">
        <v>11910</v>
      </c>
      <c r="E378" s="415">
        <f>C378+'2016'!E272</f>
        <v>15910</v>
      </c>
      <c r="F378" s="415">
        <v>15910</v>
      </c>
    </row>
    <row r="379" spans="1:7" s="155" customFormat="1" ht="90" x14ac:dyDescent="0.25">
      <c r="A379" s="530">
        <v>109</v>
      </c>
      <c r="B379" s="384" t="s">
        <v>188</v>
      </c>
      <c r="C379" s="412">
        <f>C380</f>
        <v>15170.2</v>
      </c>
      <c r="D379" s="412">
        <f>D380</f>
        <v>15170.2</v>
      </c>
      <c r="E379" s="412">
        <f>E380</f>
        <v>20170.2</v>
      </c>
      <c r="F379" s="412">
        <f>F380</f>
        <v>20170</v>
      </c>
    </row>
    <row r="380" spans="1:7" s="155" customFormat="1" x14ac:dyDescent="0.25">
      <c r="A380" s="530"/>
      <c r="B380" s="387" t="s">
        <v>22</v>
      </c>
      <c r="C380" s="415">
        <v>15170.2</v>
      </c>
      <c r="D380" s="415">
        <v>15170.2</v>
      </c>
      <c r="E380" s="415">
        <f>C380+'2016'!E274</f>
        <v>20170.2</v>
      </c>
      <c r="F380" s="415">
        <v>20170</v>
      </c>
    </row>
    <row r="381" spans="1:7" s="155" customFormat="1" ht="78.75" customHeight="1" x14ac:dyDescent="0.25">
      <c r="A381" s="530">
        <v>110</v>
      </c>
      <c r="B381" s="384" t="s">
        <v>201</v>
      </c>
      <c r="C381" s="412">
        <f>C382</f>
        <v>15000</v>
      </c>
      <c r="D381" s="412">
        <f>D382</f>
        <v>15000</v>
      </c>
      <c r="E381" s="412">
        <f>E382</f>
        <v>18000</v>
      </c>
      <c r="F381" s="412">
        <f>F382</f>
        <v>18000</v>
      </c>
    </row>
    <row r="382" spans="1:7" s="155" customFormat="1" x14ac:dyDescent="0.25">
      <c r="A382" s="530"/>
      <c r="B382" s="387" t="s">
        <v>22</v>
      </c>
      <c r="C382" s="415">
        <v>15000</v>
      </c>
      <c r="D382" s="415">
        <v>15000</v>
      </c>
      <c r="E382" s="415">
        <f>C382+'2016'!E276</f>
        <v>18000</v>
      </c>
      <c r="F382" s="415">
        <v>18000</v>
      </c>
    </row>
    <row r="383" spans="1:7" s="155" customFormat="1" ht="30" x14ac:dyDescent="0.25">
      <c r="A383" s="530">
        <v>111</v>
      </c>
      <c r="B383" s="384" t="s">
        <v>650</v>
      </c>
      <c r="C383" s="415"/>
      <c r="D383" s="415"/>
      <c r="E383" s="415"/>
      <c r="F383" s="415"/>
    </row>
    <row r="384" spans="1:7" ht="90" x14ac:dyDescent="0.25">
      <c r="A384" s="530">
        <v>112</v>
      </c>
      <c r="B384" s="384" t="s">
        <v>202</v>
      </c>
      <c r="C384" s="412"/>
      <c r="D384" s="412"/>
      <c r="E384" s="412">
        <v>3000</v>
      </c>
      <c r="F384" s="412">
        <v>3000</v>
      </c>
    </row>
    <row r="385" spans="1:7" s="155" customFormat="1" x14ac:dyDescent="0.25">
      <c r="A385" s="530"/>
      <c r="B385" s="387" t="s">
        <v>22</v>
      </c>
      <c r="C385" s="415"/>
      <c r="D385" s="415"/>
      <c r="E385" s="415">
        <f>'2018'!E297</f>
        <v>3000</v>
      </c>
      <c r="F385" s="415">
        <v>3000</v>
      </c>
    </row>
    <row r="386" spans="1:7" s="155" customFormat="1" ht="60" x14ac:dyDescent="0.25">
      <c r="A386" s="530">
        <v>113</v>
      </c>
      <c r="B386" s="384" t="s">
        <v>191</v>
      </c>
      <c r="C386" s="415"/>
      <c r="D386" s="415"/>
      <c r="E386" s="412">
        <f>E387</f>
        <v>2000</v>
      </c>
      <c r="F386" s="412">
        <f>F387</f>
        <v>2000</v>
      </c>
    </row>
    <row r="387" spans="1:7" s="155" customFormat="1" x14ac:dyDescent="0.25">
      <c r="A387" s="530"/>
      <c r="B387" s="387" t="s">
        <v>22</v>
      </c>
      <c r="C387" s="415"/>
      <c r="D387" s="415"/>
      <c r="E387" s="415">
        <f>'2016'!E279</f>
        <v>2000</v>
      </c>
      <c r="F387" s="415">
        <v>2000</v>
      </c>
    </row>
    <row r="388" spans="1:7" s="155" customFormat="1" ht="90" x14ac:dyDescent="0.25">
      <c r="A388" s="530">
        <v>114</v>
      </c>
      <c r="B388" s="384" t="s">
        <v>192</v>
      </c>
      <c r="C388" s="412">
        <f>C389</f>
        <v>13500</v>
      </c>
      <c r="D388" s="412">
        <f>D389</f>
        <v>13500</v>
      </c>
      <c r="E388" s="412">
        <f>E389</f>
        <v>33500</v>
      </c>
      <c r="F388" s="412">
        <f>F389</f>
        <v>33500</v>
      </c>
    </row>
    <row r="389" spans="1:7" s="155" customFormat="1" x14ac:dyDescent="0.25">
      <c r="A389" s="530"/>
      <c r="B389" s="387" t="s">
        <v>22</v>
      </c>
      <c r="C389" s="415">
        <v>13500</v>
      </c>
      <c r="D389" s="415">
        <v>13500</v>
      </c>
      <c r="E389" s="415">
        <f>C389+'2016'!E281</f>
        <v>33500</v>
      </c>
      <c r="F389" s="415">
        <v>33500</v>
      </c>
    </row>
    <row r="390" spans="1:7" s="155" customFormat="1" ht="75" x14ac:dyDescent="0.25">
      <c r="A390" s="530">
        <v>115</v>
      </c>
      <c r="B390" s="384" t="s">
        <v>194</v>
      </c>
      <c r="C390" s="412">
        <f>C391</f>
        <v>3000</v>
      </c>
      <c r="D390" s="412">
        <f>D391</f>
        <v>3000</v>
      </c>
      <c r="E390" s="412">
        <f>E391</f>
        <v>23000</v>
      </c>
      <c r="F390" s="412">
        <f>F391</f>
        <v>23000</v>
      </c>
    </row>
    <row r="391" spans="1:7" s="155" customFormat="1" x14ac:dyDescent="0.25">
      <c r="A391" s="530"/>
      <c r="B391" s="387" t="s">
        <v>22</v>
      </c>
      <c r="C391" s="415">
        <v>3000</v>
      </c>
      <c r="D391" s="415">
        <v>3000</v>
      </c>
      <c r="E391" s="415">
        <f>C391+'2016'!E283</f>
        <v>23000</v>
      </c>
      <c r="F391" s="415">
        <v>23000</v>
      </c>
    </row>
    <row r="392" spans="1:7" s="155" customFormat="1" ht="45" x14ac:dyDescent="0.25">
      <c r="A392" s="530">
        <v>116</v>
      </c>
      <c r="B392" s="384" t="s">
        <v>195</v>
      </c>
      <c r="C392" s="415"/>
      <c r="D392" s="415"/>
      <c r="E392" s="412">
        <f>E393</f>
        <v>5000</v>
      </c>
      <c r="F392" s="412">
        <f>F393</f>
        <v>5000</v>
      </c>
    </row>
    <row r="393" spans="1:7" s="155" customFormat="1" x14ac:dyDescent="0.25">
      <c r="A393" s="530"/>
      <c r="B393" s="387" t="s">
        <v>22</v>
      </c>
      <c r="C393" s="415"/>
      <c r="D393" s="415"/>
      <c r="E393" s="415">
        <f>'2016'!E285</f>
        <v>5000</v>
      </c>
      <c r="F393" s="415">
        <v>5000</v>
      </c>
    </row>
    <row r="394" spans="1:7" s="155" customFormat="1" ht="75" x14ac:dyDescent="0.25">
      <c r="A394" s="530">
        <v>117</v>
      </c>
      <c r="B394" s="384" t="s">
        <v>203</v>
      </c>
      <c r="C394" s="415"/>
      <c r="D394" s="415"/>
      <c r="E394" s="412">
        <f>E395</f>
        <v>3000</v>
      </c>
      <c r="F394" s="412">
        <f>F395</f>
        <v>3000</v>
      </c>
    </row>
    <row r="395" spans="1:7" s="155" customFormat="1" x14ac:dyDescent="0.25">
      <c r="A395" s="530"/>
      <c r="B395" s="387" t="s">
        <v>22</v>
      </c>
      <c r="C395" s="415"/>
      <c r="D395" s="415"/>
      <c r="E395" s="415">
        <f>'2016'!E287</f>
        <v>3000</v>
      </c>
      <c r="F395" s="415">
        <v>3000</v>
      </c>
    </row>
    <row r="396" spans="1:7" s="155" customFormat="1" ht="111" customHeight="1" x14ac:dyDescent="0.25">
      <c r="A396" s="530">
        <v>118</v>
      </c>
      <c r="B396" s="384" t="s">
        <v>544</v>
      </c>
      <c r="C396" s="415"/>
      <c r="D396" s="415"/>
      <c r="E396" s="412">
        <f>E397</f>
        <v>130000</v>
      </c>
      <c r="F396" s="412">
        <f>F397</f>
        <v>130000</v>
      </c>
    </row>
    <row r="397" spans="1:7" s="155" customFormat="1" x14ac:dyDescent="0.25">
      <c r="A397" s="530"/>
      <c r="B397" s="387" t="s">
        <v>22</v>
      </c>
      <c r="C397" s="415"/>
      <c r="D397" s="415"/>
      <c r="E397" s="415">
        <f>'2017'!E286</f>
        <v>130000</v>
      </c>
      <c r="F397" s="415">
        <v>130000</v>
      </c>
    </row>
    <row r="398" spans="1:7" s="155" customFormat="1" ht="75" x14ac:dyDescent="0.25">
      <c r="A398" s="530">
        <v>119</v>
      </c>
      <c r="B398" s="384" t="s">
        <v>187</v>
      </c>
      <c r="C398" s="412">
        <f>C399</f>
        <v>32000</v>
      </c>
      <c r="D398" s="412">
        <f>D399</f>
        <v>32000</v>
      </c>
      <c r="E398" s="412">
        <f>E399</f>
        <v>46500</v>
      </c>
      <c r="F398" s="412">
        <f>F399</f>
        <v>32000</v>
      </c>
      <c r="G398" s="540"/>
    </row>
    <row r="399" spans="1:7" s="155" customFormat="1" x14ac:dyDescent="0.25">
      <c r="A399" s="530"/>
      <c r="B399" s="387" t="s">
        <v>22</v>
      </c>
      <c r="C399" s="415">
        <v>32000</v>
      </c>
      <c r="D399" s="415">
        <v>32000</v>
      </c>
      <c r="E399" s="415">
        <f>C399+'2016'!E290</f>
        <v>46500</v>
      </c>
      <c r="F399" s="415">
        <v>32000</v>
      </c>
    </row>
    <row r="400" spans="1:7" ht="90" x14ac:dyDescent="0.25">
      <c r="A400" s="530">
        <v>120</v>
      </c>
      <c r="B400" s="384" t="s">
        <v>188</v>
      </c>
      <c r="C400" s="412"/>
      <c r="D400" s="412"/>
      <c r="E400" s="412">
        <f>E401</f>
        <v>20000</v>
      </c>
      <c r="F400" s="412">
        <f>F401</f>
        <v>15000</v>
      </c>
    </row>
    <row r="401" spans="1:6" s="155" customFormat="1" x14ac:dyDescent="0.25">
      <c r="A401" s="530"/>
      <c r="B401" s="387" t="s">
        <v>22</v>
      </c>
      <c r="C401" s="415"/>
      <c r="D401" s="415"/>
      <c r="E401" s="415">
        <f>'2016'!E292+'2017'!E288+'2018'!E299</f>
        <v>20000</v>
      </c>
      <c r="F401" s="415">
        <v>15000</v>
      </c>
    </row>
    <row r="402" spans="1:6" ht="51" customHeight="1" x14ac:dyDescent="0.25">
      <c r="A402" s="530">
        <v>121</v>
      </c>
      <c r="B402" s="384" t="s">
        <v>205</v>
      </c>
      <c r="C402" s="412">
        <f>C403</f>
        <v>10000</v>
      </c>
      <c r="D402" s="412">
        <f>D403</f>
        <v>10000</v>
      </c>
      <c r="E402" s="412">
        <f>E403</f>
        <v>40000</v>
      </c>
      <c r="F402" s="412">
        <f>F403</f>
        <v>30000</v>
      </c>
    </row>
    <row r="403" spans="1:6" s="155" customFormat="1" x14ac:dyDescent="0.25">
      <c r="A403" s="530"/>
      <c r="B403" s="387" t="s">
        <v>22</v>
      </c>
      <c r="C403" s="415">
        <v>10000</v>
      </c>
      <c r="D403" s="415">
        <v>10000</v>
      </c>
      <c r="E403" s="415">
        <f>C403+'2016'!E294+'2017'!E290+'2018'!E301</f>
        <v>40000</v>
      </c>
      <c r="F403" s="415">
        <v>30000</v>
      </c>
    </row>
    <row r="404" spans="1:6" ht="81" customHeight="1" x14ac:dyDescent="0.25">
      <c r="A404" s="530">
        <v>122</v>
      </c>
      <c r="B404" s="384" t="s">
        <v>201</v>
      </c>
      <c r="C404" s="412">
        <f>C405</f>
        <v>10000</v>
      </c>
      <c r="D404" s="412">
        <f>D405</f>
        <v>9995.2000000000007</v>
      </c>
      <c r="E404" s="412">
        <f>E405</f>
        <v>33000</v>
      </c>
      <c r="F404" s="412">
        <f>F405</f>
        <v>32725.5</v>
      </c>
    </row>
    <row r="405" spans="1:6" s="155" customFormat="1" x14ac:dyDescent="0.25">
      <c r="A405" s="530"/>
      <c r="B405" s="387" t="s">
        <v>22</v>
      </c>
      <c r="C405" s="415">
        <v>10000</v>
      </c>
      <c r="D405" s="415">
        <v>9995.2000000000007</v>
      </c>
      <c r="E405" s="415">
        <f>C405+'2016'!E296+'2017'!E292+'2018'!E303</f>
        <v>33000</v>
      </c>
      <c r="F405" s="415">
        <v>32725.5</v>
      </c>
    </row>
    <row r="406" spans="1:6" ht="90" x14ac:dyDescent="0.25">
      <c r="A406" s="530">
        <v>123</v>
      </c>
      <c r="B406" s="384" t="s">
        <v>200</v>
      </c>
      <c r="C406" s="412">
        <f>C407</f>
        <v>5000</v>
      </c>
      <c r="D406" s="412">
        <f>D407</f>
        <v>5000</v>
      </c>
      <c r="E406" s="412">
        <f>E407</f>
        <v>35000</v>
      </c>
      <c r="F406" s="412">
        <f>F407</f>
        <v>15000</v>
      </c>
    </row>
    <row r="407" spans="1:6" s="155" customFormat="1" x14ac:dyDescent="0.25">
      <c r="A407" s="530"/>
      <c r="B407" s="387" t="s">
        <v>22</v>
      </c>
      <c r="C407" s="415">
        <v>5000</v>
      </c>
      <c r="D407" s="415">
        <v>5000</v>
      </c>
      <c r="E407" s="415">
        <f>C407+'2016'!E298+'2017'!E294+'2018'!E305</f>
        <v>35000</v>
      </c>
      <c r="F407" s="415">
        <v>15000</v>
      </c>
    </row>
    <row r="408" spans="1:6" s="155" customFormat="1" ht="51.75" customHeight="1" x14ac:dyDescent="0.25">
      <c r="A408" s="530">
        <v>124</v>
      </c>
      <c r="B408" s="384" t="s">
        <v>294</v>
      </c>
      <c r="C408" s="412">
        <f>C409</f>
        <v>2000</v>
      </c>
      <c r="D408" s="412">
        <f>D409</f>
        <v>2000</v>
      </c>
      <c r="E408" s="412">
        <f>E409</f>
        <v>6000</v>
      </c>
      <c r="F408" s="412">
        <f>F409</f>
        <v>6000</v>
      </c>
    </row>
    <row r="409" spans="1:6" s="155" customFormat="1" x14ac:dyDescent="0.25">
      <c r="A409" s="530"/>
      <c r="B409" s="387" t="s">
        <v>22</v>
      </c>
      <c r="C409" s="415">
        <v>2000</v>
      </c>
      <c r="D409" s="415">
        <v>2000</v>
      </c>
      <c r="E409" s="415">
        <f>C409+'2017'!E296+'2018'!E307</f>
        <v>6000</v>
      </c>
      <c r="F409" s="415">
        <v>6000</v>
      </c>
    </row>
    <row r="410" spans="1:6" s="155" customFormat="1" ht="90" x14ac:dyDescent="0.25">
      <c r="A410" s="530">
        <v>125</v>
      </c>
      <c r="B410" s="384" t="s">
        <v>192</v>
      </c>
      <c r="C410" s="415"/>
      <c r="D410" s="415"/>
      <c r="E410" s="412">
        <f>E411</f>
        <v>40000</v>
      </c>
      <c r="F410" s="412">
        <f>F411</f>
        <v>40000</v>
      </c>
    </row>
    <row r="411" spans="1:6" s="155" customFormat="1" x14ac:dyDescent="0.25">
      <c r="A411" s="530"/>
      <c r="B411" s="387" t="s">
        <v>22</v>
      </c>
      <c r="C411" s="415"/>
      <c r="D411" s="415"/>
      <c r="E411" s="415">
        <f>'2016'!E300+'2017'!E298</f>
        <v>40000</v>
      </c>
      <c r="F411" s="415">
        <v>40000</v>
      </c>
    </row>
    <row r="412" spans="1:6" s="155" customFormat="1" ht="75" x14ac:dyDescent="0.25">
      <c r="A412" s="530">
        <v>126</v>
      </c>
      <c r="B412" s="384" t="s">
        <v>403</v>
      </c>
      <c r="C412" s="415"/>
      <c r="D412" s="415"/>
      <c r="E412" s="412">
        <f>E413</f>
        <v>15000</v>
      </c>
      <c r="F412" s="412">
        <f>F413</f>
        <v>85795.25</v>
      </c>
    </row>
    <row r="413" spans="1:6" s="155" customFormat="1" ht="18.75" customHeight="1" x14ac:dyDescent="0.25">
      <c r="A413" s="530"/>
      <c r="B413" s="387" t="s">
        <v>139</v>
      </c>
      <c r="C413" s="415"/>
      <c r="D413" s="415"/>
      <c r="E413" s="415">
        <f>'2016'!E302</f>
        <v>15000</v>
      </c>
      <c r="F413" s="415">
        <f>'2016'!F302</f>
        <v>85795.25</v>
      </c>
    </row>
    <row r="414" spans="1:6" ht="75" x14ac:dyDescent="0.25">
      <c r="A414" s="530">
        <v>127</v>
      </c>
      <c r="B414" s="384" t="s">
        <v>194</v>
      </c>
      <c r="C414" s="412">
        <f>C415</f>
        <v>10000</v>
      </c>
      <c r="D414" s="412">
        <f>D415</f>
        <v>7250</v>
      </c>
      <c r="E414" s="412">
        <f>E415</f>
        <v>70000</v>
      </c>
      <c r="F414" s="412">
        <f>F415</f>
        <v>42250</v>
      </c>
    </row>
    <row r="415" spans="1:6" s="155" customFormat="1" x14ac:dyDescent="0.25">
      <c r="A415" s="530"/>
      <c r="B415" s="387" t="s">
        <v>22</v>
      </c>
      <c r="C415" s="415">
        <v>10000</v>
      </c>
      <c r="D415" s="415">
        <v>7250</v>
      </c>
      <c r="E415" s="415">
        <f>C415+'2016'!E304+'2017'!E300+'2018'!E309</f>
        <v>70000</v>
      </c>
      <c r="F415" s="415">
        <v>42250</v>
      </c>
    </row>
    <row r="416" spans="1:6" ht="75" x14ac:dyDescent="0.25">
      <c r="A416" s="530">
        <v>128</v>
      </c>
      <c r="B416" s="384" t="s">
        <v>203</v>
      </c>
      <c r="C416" s="412"/>
      <c r="D416" s="412"/>
      <c r="E416" s="412">
        <f>E417</f>
        <v>7000</v>
      </c>
      <c r="F416" s="412">
        <f>F417</f>
        <v>7000</v>
      </c>
    </row>
    <row r="417" spans="1:6" s="155" customFormat="1" x14ac:dyDescent="0.25">
      <c r="A417" s="530"/>
      <c r="B417" s="387" t="s">
        <v>22</v>
      </c>
      <c r="C417" s="415"/>
      <c r="D417" s="415"/>
      <c r="E417" s="415">
        <f>'2016'!E306+'2017'!E302+'2018'!E311</f>
        <v>7000</v>
      </c>
      <c r="F417" s="415">
        <v>7000</v>
      </c>
    </row>
    <row r="418" spans="1:6" ht="75" x14ac:dyDescent="0.25">
      <c r="A418" s="530">
        <v>129</v>
      </c>
      <c r="B418" s="384" t="s">
        <v>187</v>
      </c>
      <c r="C418" s="412">
        <f>C419</f>
        <v>6500</v>
      </c>
      <c r="D418" s="412">
        <f>D419</f>
        <v>6500</v>
      </c>
      <c r="E418" s="412">
        <f>E419</f>
        <v>50500</v>
      </c>
      <c r="F418" s="412">
        <f>F419</f>
        <v>50500</v>
      </c>
    </row>
    <row r="419" spans="1:6" s="155" customFormat="1" x14ac:dyDescent="0.25">
      <c r="A419" s="530"/>
      <c r="B419" s="387" t="s">
        <v>22</v>
      </c>
      <c r="C419" s="415">
        <v>6500</v>
      </c>
      <c r="D419" s="415">
        <v>6500</v>
      </c>
      <c r="E419" s="415">
        <f>C419+'2016'!E308+'2017'!E304+'2018'!E313</f>
        <v>50500</v>
      </c>
      <c r="F419" s="415">
        <v>50500</v>
      </c>
    </row>
    <row r="420" spans="1:6" ht="90" x14ac:dyDescent="0.25">
      <c r="A420" s="530">
        <v>130</v>
      </c>
      <c r="B420" s="384" t="s">
        <v>188</v>
      </c>
      <c r="C420" s="515"/>
      <c r="D420" s="515"/>
      <c r="E420" s="515">
        <f>E421</f>
        <v>20000</v>
      </c>
      <c r="F420" s="515">
        <f>F421</f>
        <v>20000</v>
      </c>
    </row>
    <row r="421" spans="1:6" s="155" customFormat="1" x14ac:dyDescent="0.25">
      <c r="A421" s="530"/>
      <c r="B421" s="387" t="s">
        <v>22</v>
      </c>
      <c r="C421" s="415"/>
      <c r="D421" s="415"/>
      <c r="E421" s="415">
        <f>'2016'!E310+'2017'!E306+'2018'!E315</f>
        <v>20000</v>
      </c>
      <c r="F421" s="415">
        <v>20000</v>
      </c>
    </row>
    <row r="422" spans="1:6" s="155" customFormat="1" ht="45" x14ac:dyDescent="0.25">
      <c r="A422" s="530">
        <v>131</v>
      </c>
      <c r="B422" s="384" t="s">
        <v>481</v>
      </c>
      <c r="C422" s="412"/>
      <c r="D422" s="412"/>
      <c r="E422" s="412">
        <f>E423</f>
        <v>5000</v>
      </c>
      <c r="F422" s="412">
        <f>F423</f>
        <v>5000</v>
      </c>
    </row>
    <row r="423" spans="1:6" s="155" customFormat="1" x14ac:dyDescent="0.25">
      <c r="A423" s="530"/>
      <c r="B423" s="387" t="s">
        <v>22</v>
      </c>
      <c r="C423" s="415"/>
      <c r="D423" s="415"/>
      <c r="E423" s="415">
        <f>'2018'!E317</f>
        <v>5000</v>
      </c>
      <c r="F423" s="415">
        <v>5000</v>
      </c>
    </row>
    <row r="424" spans="1:6" ht="75" x14ac:dyDescent="0.25">
      <c r="A424" s="530">
        <v>132</v>
      </c>
      <c r="B424" s="384" t="s">
        <v>201</v>
      </c>
      <c r="C424" s="412">
        <f>C425</f>
        <v>10000</v>
      </c>
      <c r="D424" s="412">
        <f>D425</f>
        <v>10000</v>
      </c>
      <c r="E424" s="412">
        <f>E425</f>
        <v>40000</v>
      </c>
      <c r="F424" s="412">
        <f>F425</f>
        <v>40000</v>
      </c>
    </row>
    <row r="425" spans="1:6" s="155" customFormat="1" x14ac:dyDescent="0.25">
      <c r="A425" s="530"/>
      <c r="B425" s="387" t="s">
        <v>22</v>
      </c>
      <c r="C425" s="415">
        <v>10000</v>
      </c>
      <c r="D425" s="415">
        <v>10000</v>
      </c>
      <c r="E425" s="415">
        <f>C425+'2016'!E312+'2017'!E308+'2018'!E319</f>
        <v>40000</v>
      </c>
      <c r="F425" s="415">
        <v>40000</v>
      </c>
    </row>
    <row r="426" spans="1:6" s="155" customFormat="1" ht="30" x14ac:dyDescent="0.25">
      <c r="A426" s="530">
        <v>133</v>
      </c>
      <c r="B426" s="384" t="s">
        <v>661</v>
      </c>
      <c r="C426" s="415"/>
      <c r="D426" s="415"/>
      <c r="E426" s="415"/>
      <c r="F426" s="415"/>
    </row>
    <row r="427" spans="1:6" ht="90" x14ac:dyDescent="0.25">
      <c r="A427" s="530">
        <v>134</v>
      </c>
      <c r="B427" s="384" t="s">
        <v>200</v>
      </c>
      <c r="C427" s="515">
        <f>C428</f>
        <v>5000</v>
      </c>
      <c r="D427" s="515">
        <f>D428</f>
        <v>0</v>
      </c>
      <c r="E427" s="515">
        <f>E428</f>
        <v>26000</v>
      </c>
      <c r="F427" s="515">
        <f>F428</f>
        <v>21000</v>
      </c>
    </row>
    <row r="428" spans="1:6" s="155" customFormat="1" x14ac:dyDescent="0.25">
      <c r="A428" s="530"/>
      <c r="B428" s="387" t="s">
        <v>22</v>
      </c>
      <c r="C428" s="415">
        <v>5000</v>
      </c>
      <c r="D428" s="415">
        <v>0</v>
      </c>
      <c r="E428" s="415">
        <f>C428+'2016'!E315+'2017'!E310+'2018'!E321</f>
        <v>26000</v>
      </c>
      <c r="F428" s="415">
        <v>21000</v>
      </c>
    </row>
    <row r="429" spans="1:6" s="155" customFormat="1" ht="60" x14ac:dyDescent="0.25">
      <c r="A429" s="530">
        <v>135</v>
      </c>
      <c r="B429" s="384" t="s">
        <v>548</v>
      </c>
      <c r="C429" s="415"/>
      <c r="D429" s="415"/>
      <c r="E429" s="412">
        <f>E430</f>
        <v>5000</v>
      </c>
      <c r="F429" s="412">
        <f>F430</f>
        <v>5000</v>
      </c>
    </row>
    <row r="430" spans="1:6" s="155" customFormat="1" x14ac:dyDescent="0.25">
      <c r="A430" s="530"/>
      <c r="B430" s="387" t="s">
        <v>22</v>
      </c>
      <c r="C430" s="415"/>
      <c r="D430" s="415"/>
      <c r="E430" s="415">
        <f>'2016'!E317+'2017'!E312</f>
        <v>5000</v>
      </c>
      <c r="F430" s="415">
        <v>5000</v>
      </c>
    </row>
    <row r="431" spans="1:6" s="155" customFormat="1" ht="90" x14ac:dyDescent="0.25">
      <c r="A431" s="530">
        <v>136</v>
      </c>
      <c r="B431" s="384" t="s">
        <v>484</v>
      </c>
      <c r="C431" s="412"/>
      <c r="D431" s="412"/>
      <c r="E431" s="412">
        <f>E432</f>
        <v>50000</v>
      </c>
      <c r="F431" s="412">
        <f>F432</f>
        <v>50000</v>
      </c>
    </row>
    <row r="432" spans="1:6" s="155" customFormat="1" x14ac:dyDescent="0.25">
      <c r="A432" s="530"/>
      <c r="B432" s="387" t="s">
        <v>22</v>
      </c>
      <c r="C432" s="415"/>
      <c r="D432" s="415"/>
      <c r="E432" s="415">
        <f>'2017'!E314+'2018'!E323</f>
        <v>50000</v>
      </c>
      <c r="F432" s="415">
        <v>50000</v>
      </c>
    </row>
    <row r="433" spans="1:6" s="155" customFormat="1" ht="60" x14ac:dyDescent="0.25">
      <c r="A433" s="530">
        <v>137</v>
      </c>
      <c r="B433" s="384" t="s">
        <v>662</v>
      </c>
      <c r="C433" s="415"/>
      <c r="D433" s="415"/>
      <c r="E433" s="412">
        <f>E434</f>
        <v>15000</v>
      </c>
      <c r="F433" s="412">
        <f>F434</f>
        <v>15000</v>
      </c>
    </row>
    <row r="434" spans="1:6" s="155" customFormat="1" x14ac:dyDescent="0.25">
      <c r="A434" s="530"/>
      <c r="B434" s="387" t="s">
        <v>22</v>
      </c>
      <c r="C434" s="415"/>
      <c r="D434" s="415"/>
      <c r="E434" s="415">
        <f>'2017'!E316</f>
        <v>15000</v>
      </c>
      <c r="F434" s="415">
        <v>15000</v>
      </c>
    </row>
    <row r="435" spans="1:6" ht="75" x14ac:dyDescent="0.25">
      <c r="A435" s="530">
        <v>138</v>
      </c>
      <c r="B435" s="384" t="s">
        <v>203</v>
      </c>
      <c r="C435" s="412"/>
      <c r="D435" s="412"/>
      <c r="E435" s="412">
        <f>E436</f>
        <v>9500</v>
      </c>
      <c r="F435" s="412">
        <f>F436</f>
        <v>9500</v>
      </c>
    </row>
    <row r="436" spans="1:6" s="155" customFormat="1" x14ac:dyDescent="0.25">
      <c r="A436" s="530"/>
      <c r="B436" s="387" t="s">
        <v>22</v>
      </c>
      <c r="C436" s="415"/>
      <c r="D436" s="415"/>
      <c r="E436" s="415">
        <f>'2016'!E319+'2018'!E325</f>
        <v>9500</v>
      </c>
      <c r="F436" s="415">
        <v>9500</v>
      </c>
    </row>
    <row r="437" spans="1:6" s="155" customFormat="1" ht="75" x14ac:dyDescent="0.25">
      <c r="A437" s="530">
        <v>139</v>
      </c>
      <c r="B437" s="384" t="s">
        <v>187</v>
      </c>
      <c r="C437" s="412">
        <f>C438</f>
        <v>15500</v>
      </c>
      <c r="D437" s="412">
        <f>D438</f>
        <v>15500</v>
      </c>
      <c r="E437" s="412">
        <f>E438</f>
        <v>52471</v>
      </c>
      <c r="F437" s="412">
        <f>F438</f>
        <v>52471</v>
      </c>
    </row>
    <row r="438" spans="1:6" s="155" customFormat="1" x14ac:dyDescent="0.25">
      <c r="A438" s="530"/>
      <c r="B438" s="387" t="s">
        <v>22</v>
      </c>
      <c r="C438" s="415">
        <v>15500</v>
      </c>
      <c r="D438" s="415">
        <v>15500</v>
      </c>
      <c r="E438" s="415">
        <f>C438+'2016'!E321+'2018'!E327</f>
        <v>52471</v>
      </c>
      <c r="F438" s="415">
        <v>52471</v>
      </c>
    </row>
    <row r="439" spans="1:6" s="155" customFormat="1" ht="75" x14ac:dyDescent="0.25">
      <c r="A439" s="530">
        <v>140</v>
      </c>
      <c r="B439" s="384" t="s">
        <v>295</v>
      </c>
      <c r="C439" s="412">
        <f>C440</f>
        <v>7000</v>
      </c>
      <c r="D439" s="412">
        <f>D440</f>
        <v>6900</v>
      </c>
      <c r="E439" s="412">
        <f>E440</f>
        <v>22600</v>
      </c>
      <c r="F439" s="412">
        <f>F440</f>
        <v>22500</v>
      </c>
    </row>
    <row r="440" spans="1:6" s="155" customFormat="1" x14ac:dyDescent="0.25">
      <c r="A440" s="530"/>
      <c r="B440" s="387" t="s">
        <v>22</v>
      </c>
      <c r="C440" s="415">
        <v>7000</v>
      </c>
      <c r="D440" s="415">
        <v>6900</v>
      </c>
      <c r="E440" s="415">
        <f>C440+'2017'!E318+'2018'!E329</f>
        <v>22600</v>
      </c>
      <c r="F440" s="415">
        <v>22500</v>
      </c>
    </row>
    <row r="441" spans="1:6" ht="60" x14ac:dyDescent="0.25">
      <c r="A441" s="530">
        <v>141</v>
      </c>
      <c r="B441" s="384" t="s">
        <v>209</v>
      </c>
      <c r="C441" s="412">
        <f>C442</f>
        <v>6500</v>
      </c>
      <c r="D441" s="412">
        <f>D442</f>
        <v>5499.1</v>
      </c>
      <c r="E441" s="412">
        <f>E442</f>
        <v>24000</v>
      </c>
      <c r="F441" s="412">
        <f>F442</f>
        <v>26444.1</v>
      </c>
    </row>
    <row r="442" spans="1:6" s="155" customFormat="1" x14ac:dyDescent="0.25">
      <c r="A442" s="530"/>
      <c r="B442" s="387" t="s">
        <v>22</v>
      </c>
      <c r="C442" s="415">
        <v>6500</v>
      </c>
      <c r="D442" s="415">
        <v>5499.1</v>
      </c>
      <c r="E442" s="415">
        <f>C442+'2016'!E323+'2017'!E320+'2018'!E331</f>
        <v>24000</v>
      </c>
      <c r="F442" s="415">
        <v>26444.1</v>
      </c>
    </row>
    <row r="443" spans="1:6" s="155" customFormat="1" ht="60" x14ac:dyDescent="0.25">
      <c r="A443" s="530">
        <v>142</v>
      </c>
      <c r="B443" s="384" t="s">
        <v>408</v>
      </c>
      <c r="C443" s="412"/>
      <c r="D443" s="412"/>
      <c r="E443" s="412">
        <f>E444</f>
        <v>5000</v>
      </c>
      <c r="F443" s="412">
        <f>F444</f>
        <v>5000</v>
      </c>
    </row>
    <row r="444" spans="1:6" s="155" customFormat="1" x14ac:dyDescent="0.25">
      <c r="A444" s="530"/>
      <c r="B444" s="387" t="s">
        <v>22</v>
      </c>
      <c r="C444" s="415"/>
      <c r="D444" s="415"/>
      <c r="E444" s="415">
        <f>'2016'!E325+'2018'!E333</f>
        <v>5000</v>
      </c>
      <c r="F444" s="415">
        <v>5000</v>
      </c>
    </row>
    <row r="445" spans="1:6" s="155" customFormat="1" ht="75" x14ac:dyDescent="0.25">
      <c r="A445" s="530">
        <v>143</v>
      </c>
      <c r="B445" s="384" t="s">
        <v>203</v>
      </c>
      <c r="C445" s="412"/>
      <c r="D445" s="412"/>
      <c r="E445" s="412">
        <f>E446</f>
        <v>2700</v>
      </c>
      <c r="F445" s="412">
        <f>F446</f>
        <v>2700</v>
      </c>
    </row>
    <row r="446" spans="1:6" s="155" customFormat="1" x14ac:dyDescent="0.25">
      <c r="A446" s="530"/>
      <c r="B446" s="387" t="s">
        <v>22</v>
      </c>
      <c r="C446" s="415"/>
      <c r="D446" s="415"/>
      <c r="E446" s="415">
        <f>'2018'!E335</f>
        <v>2700</v>
      </c>
      <c r="F446" s="415">
        <v>2700</v>
      </c>
    </row>
    <row r="447" spans="1:6" s="155" customFormat="1" ht="90" x14ac:dyDescent="0.25">
      <c r="A447" s="530">
        <v>144</v>
      </c>
      <c r="B447" s="384" t="s">
        <v>695</v>
      </c>
      <c r="C447" s="412"/>
      <c r="D447" s="412"/>
      <c r="E447" s="412">
        <f>E448</f>
        <v>6000</v>
      </c>
      <c r="F447" s="412">
        <f>F448</f>
        <v>0</v>
      </c>
    </row>
    <row r="448" spans="1:6" s="155" customFormat="1" x14ac:dyDescent="0.25">
      <c r="A448" s="530"/>
      <c r="B448" s="387" t="s">
        <v>22</v>
      </c>
      <c r="C448" s="415"/>
      <c r="D448" s="415"/>
      <c r="E448" s="415">
        <f>'2018'!E337</f>
        <v>6000</v>
      </c>
      <c r="F448" s="415">
        <v>0</v>
      </c>
    </row>
    <row r="449" spans="1:6" s="155" customFormat="1" ht="75" x14ac:dyDescent="0.25">
      <c r="A449" s="530">
        <v>145</v>
      </c>
      <c r="B449" s="384" t="s">
        <v>295</v>
      </c>
      <c r="C449" s="415"/>
      <c r="D449" s="415"/>
      <c r="E449" s="412">
        <f>E450</f>
        <v>5000</v>
      </c>
      <c r="F449" s="412">
        <f>F450</f>
        <v>4200</v>
      </c>
    </row>
    <row r="450" spans="1:6" s="155" customFormat="1" x14ac:dyDescent="0.25">
      <c r="A450" s="530"/>
      <c r="B450" s="387" t="s">
        <v>22</v>
      </c>
      <c r="C450" s="415"/>
      <c r="D450" s="415"/>
      <c r="E450" s="415">
        <v>5000</v>
      </c>
      <c r="F450" s="415">
        <v>4200</v>
      </c>
    </row>
    <row r="451" spans="1:6" s="155" customFormat="1" ht="60" x14ac:dyDescent="0.25">
      <c r="A451" s="530">
        <v>146</v>
      </c>
      <c r="B451" s="384" t="s">
        <v>620</v>
      </c>
      <c r="C451" s="412">
        <f>C452</f>
        <v>5000</v>
      </c>
      <c r="D451" s="412">
        <f>D452</f>
        <v>5000</v>
      </c>
      <c r="E451" s="412">
        <f>E452</f>
        <v>15000</v>
      </c>
      <c r="F451" s="412">
        <f>F452</f>
        <v>14094.78</v>
      </c>
    </row>
    <row r="452" spans="1:6" s="155" customFormat="1" x14ac:dyDescent="0.25">
      <c r="A452" s="530"/>
      <c r="B452" s="387" t="s">
        <v>22</v>
      </c>
      <c r="C452" s="415">
        <v>5000</v>
      </c>
      <c r="D452" s="415">
        <v>5000</v>
      </c>
      <c r="E452" s="415">
        <v>15000</v>
      </c>
      <c r="F452" s="415">
        <v>14094.78</v>
      </c>
    </row>
    <row r="453" spans="1:6" s="155" customFormat="1" ht="60" x14ac:dyDescent="0.25">
      <c r="A453" s="530">
        <v>147</v>
      </c>
      <c r="B453" s="384" t="s">
        <v>548</v>
      </c>
      <c r="C453" s="415"/>
      <c r="D453" s="415"/>
      <c r="E453" s="412">
        <f>E454</f>
        <v>5000</v>
      </c>
      <c r="F453" s="412">
        <f>F454</f>
        <v>2753.28</v>
      </c>
    </row>
    <row r="454" spans="1:6" s="155" customFormat="1" x14ac:dyDescent="0.25">
      <c r="A454" s="530"/>
      <c r="B454" s="387" t="s">
        <v>22</v>
      </c>
      <c r="C454" s="415"/>
      <c r="D454" s="415"/>
      <c r="E454" s="415">
        <v>5000</v>
      </c>
      <c r="F454" s="415">
        <v>2753.28</v>
      </c>
    </row>
    <row r="455" spans="1:6" x14ac:dyDescent="0.25">
      <c r="A455" s="530"/>
      <c r="B455" s="394" t="s">
        <v>54</v>
      </c>
      <c r="C455" s="420">
        <f>C456+C457</f>
        <v>4899990.2000000011</v>
      </c>
      <c r="D455" s="420">
        <f>D456+D457</f>
        <v>4890361.040000001</v>
      </c>
      <c r="E455" s="420">
        <f>E456+E457+E458</f>
        <v>17668928</v>
      </c>
      <c r="F455" s="420">
        <f>F456+F457+F458</f>
        <v>18666574.559999999</v>
      </c>
    </row>
    <row r="456" spans="1:6" s="155" customFormat="1" x14ac:dyDescent="0.25">
      <c r="A456" s="530"/>
      <c r="B456" s="387" t="s">
        <v>13</v>
      </c>
      <c r="C456" s="415">
        <f>C249+C251+C253+C255+C257+C259+C261+C263+C265+C267+C269+C274+C276+C278+C280+C282+C299+C301+C303+C305+C307+C309+C311+C313+C315+C317+C319+C323+C325</f>
        <v>4616710.0000000009</v>
      </c>
      <c r="D456" s="415">
        <f>D249+D251+D253+D255+D257+D259+D261+D263+D265+D267+D269+D274+D276+D278+D280+D282+D299+D301+D303+D305+D307+D309+D311+D313+D315+D317+D319+D323+D325</f>
        <v>4616710.0000000009</v>
      </c>
      <c r="E456" s="415">
        <f>'2016'!E331+'2017'!E328+'2018'!E339+'2019'!E458</f>
        <v>16014996.800000001</v>
      </c>
      <c r="F456" s="415">
        <f>F249+F251+F253+F255+F257+F259+F261+F263+F265+F267+F269+F274+F276+F278+F280+F282+F299+F301+F303+F305+F307+F309+F311+F313+F315+F317+F319+F323+F325</f>
        <v>15939573.709999999</v>
      </c>
    </row>
    <row r="457" spans="1:6" s="155" customFormat="1" x14ac:dyDescent="0.25">
      <c r="A457" s="530"/>
      <c r="B457" s="387" t="s">
        <v>22</v>
      </c>
      <c r="C457" s="415">
        <f>C331+C333+C335+C338+C341+C343+C345+C349+C351+C353+C356+C358+C360+C362+C364+C366+C368+C370+C372+C374+C376+C378+C380+C382+C385+C387+C389+C391+C393+C395+C397+C399+C401+C403+C405+C407+C409++C411+C415+C417+C419+C421+C423+C425+C428+C430+C432+C434+C436+C438+C440+C442+C444+C446+C448+C450+C452+C454</f>
        <v>283280.2</v>
      </c>
      <c r="D457" s="415">
        <f>D331+D333+D335+D338+D341+D343+D345+D349+D351+D353+D356+D358+D360+D362+D364+D366+D368+D370+D372+D374+D376+D378+D380+D382+D385+D387+D389+D391+D393+D395+D397+D399+D401+D403+D405+D407+D409++D411+D415+D417+D419+D421+D423+D425+D428+D430+D432+D434+D436+D438+D440+D442+D444+D446+D448+D450+D452+D454</f>
        <v>273651.03999999998</v>
      </c>
      <c r="E457" s="415">
        <f>E331+E333+E335+E338+E341+E343+E345+E349+E351+E353+E356+E358+E360+E362+E364+E366+E368+E370+E372+E374+E376+E378+E380+E382+E385+E387+E389+E391+E393+E395+E397+E399+E401+E403+E405+E407+E409++E411+E415+E417+E419+E421+E423+E425+E428+E430+E432+E434+E436+E438+E440+E442+E444+E446+E448+E450+E452+E454</f>
        <v>1576931.2</v>
      </c>
      <c r="F457" s="415">
        <f>F331+F333+F335+F338+F341+F343+F345+F349+F351+F353+F356+F358+F360+F362+F364+F366+F368+F370+F372+F374+F376+F378+F380+F382+F385+F387+F389+F391+F393+F395+F397+F399+F401+F403+F405+F407+F409++F411+F415+F417+F419+F421+F423+F425+F428+F430+F432+F434+F436+F438+F440+F442+F444+F446+F448+F450+F452+F454</f>
        <v>1460786.9</v>
      </c>
    </row>
    <row r="458" spans="1:6" s="155" customFormat="1" x14ac:dyDescent="0.25">
      <c r="A458" s="530"/>
      <c r="B458" s="387" t="s">
        <v>139</v>
      </c>
      <c r="C458" s="415">
        <f>C347+C339</f>
        <v>0</v>
      </c>
      <c r="D458" s="415">
        <f>D347+D339</f>
        <v>0</v>
      </c>
      <c r="E458" s="415">
        <f>E347+E339+E413</f>
        <v>77000</v>
      </c>
      <c r="F458" s="415">
        <f>F347+F339+F413</f>
        <v>1266213.95</v>
      </c>
    </row>
    <row r="459" spans="1:6" x14ac:dyDescent="0.25">
      <c r="A459" s="564" t="s">
        <v>212</v>
      </c>
      <c r="B459" s="564"/>
      <c r="C459" s="564"/>
      <c r="D459" s="564"/>
      <c r="E459" s="564"/>
      <c r="F459" s="564"/>
    </row>
    <row r="460" spans="1:6" ht="75" x14ac:dyDescent="0.25">
      <c r="A460" s="530">
        <v>148</v>
      </c>
      <c r="B460" s="384" t="s">
        <v>213</v>
      </c>
      <c r="C460" s="412">
        <f>C461</f>
        <v>1700</v>
      </c>
      <c r="D460" s="412">
        <f>D461</f>
        <v>1720</v>
      </c>
      <c r="E460" s="412">
        <f>E461</f>
        <v>10100</v>
      </c>
      <c r="F460" s="412">
        <f>F461</f>
        <v>10721</v>
      </c>
    </row>
    <row r="461" spans="1:6" s="155" customFormat="1" x14ac:dyDescent="0.25">
      <c r="A461" s="530"/>
      <c r="B461" s="387" t="s">
        <v>19</v>
      </c>
      <c r="C461" s="415">
        <f>C464+C463+C465</f>
        <v>1700</v>
      </c>
      <c r="D461" s="415">
        <f>D464+D463+D465</f>
        <v>1720</v>
      </c>
      <c r="E461" s="415">
        <f>E464+E463+E465</f>
        <v>10100</v>
      </c>
      <c r="F461" s="415">
        <f>F464+F463+F465</f>
        <v>10721</v>
      </c>
    </row>
    <row r="462" spans="1:6" s="155" customFormat="1" x14ac:dyDescent="0.25">
      <c r="A462" s="530"/>
      <c r="B462" s="384" t="s">
        <v>155</v>
      </c>
      <c r="C462" s="415"/>
      <c r="D462" s="415"/>
      <c r="E462" s="417"/>
      <c r="F462" s="417"/>
    </row>
    <row r="463" spans="1:6" s="155" customFormat="1" x14ac:dyDescent="0.25">
      <c r="A463" s="530"/>
      <c r="B463" s="384" t="s">
        <v>164</v>
      </c>
      <c r="C463" s="415">
        <v>400</v>
      </c>
      <c r="D463" s="415">
        <v>400</v>
      </c>
      <c r="E463" s="415">
        <f>C463+'2016'!E338+'2017'!E335+'2018'!E345</f>
        <v>5200</v>
      </c>
      <c r="F463" s="415">
        <f>D463+'2016'!F338+'2017'!F335+'2018'!F345</f>
        <v>5200</v>
      </c>
    </row>
    <row r="464" spans="1:6" s="155" customFormat="1" x14ac:dyDescent="0.25">
      <c r="A464" s="530"/>
      <c r="B464" s="384" t="s">
        <v>214</v>
      </c>
      <c r="C464" s="415">
        <v>800</v>
      </c>
      <c r="D464" s="415">
        <v>820</v>
      </c>
      <c r="E464" s="415">
        <f>C464+'2016'!E339+'2017'!E336+'2018'!E346</f>
        <v>3200</v>
      </c>
      <c r="F464" s="415">
        <f>D464+'2016'!F339+'2017'!F336+'2018'!F346</f>
        <v>3821</v>
      </c>
    </row>
    <row r="465" spans="1:6" s="155" customFormat="1" x14ac:dyDescent="0.25">
      <c r="A465" s="530"/>
      <c r="B465" s="384" t="s">
        <v>215</v>
      </c>
      <c r="C465" s="415">
        <v>500</v>
      </c>
      <c r="D465" s="415">
        <v>500</v>
      </c>
      <c r="E465" s="415">
        <f>C465+'2016'!E340+'2017'!E337+'2018'!E347</f>
        <v>1700</v>
      </c>
      <c r="F465" s="415">
        <f>D465+'2016'!F340+'2017'!F337+'2018'!F347</f>
        <v>1700</v>
      </c>
    </row>
    <row r="466" spans="1:6" ht="45" x14ac:dyDescent="0.25">
      <c r="A466" s="530">
        <v>149</v>
      </c>
      <c r="B466" s="384" t="s">
        <v>489</v>
      </c>
      <c r="C466" s="412">
        <f>C467</f>
        <v>1900</v>
      </c>
      <c r="D466" s="412">
        <f>D467</f>
        <v>2150</v>
      </c>
      <c r="E466" s="412">
        <f>E467</f>
        <v>7300</v>
      </c>
      <c r="F466" s="412">
        <f>F467</f>
        <v>7790</v>
      </c>
    </row>
    <row r="467" spans="1:6" s="155" customFormat="1" x14ac:dyDescent="0.25">
      <c r="A467" s="530"/>
      <c r="B467" s="387" t="s">
        <v>19</v>
      </c>
      <c r="C467" s="415">
        <f>C470+C469+C471</f>
        <v>1900</v>
      </c>
      <c r="D467" s="415">
        <f>D470+D469+D471</f>
        <v>2150</v>
      </c>
      <c r="E467" s="415">
        <f>E470+E469+E471</f>
        <v>7300</v>
      </c>
      <c r="F467" s="415">
        <f>F470+F469+F471</f>
        <v>7790</v>
      </c>
    </row>
    <row r="468" spans="1:6" s="155" customFormat="1" x14ac:dyDescent="0.25">
      <c r="A468" s="530"/>
      <c r="B468" s="384" t="s">
        <v>155</v>
      </c>
      <c r="C468" s="415"/>
      <c r="D468" s="415"/>
      <c r="E468" s="417"/>
      <c r="F468" s="417"/>
    </row>
    <row r="469" spans="1:6" s="155" customFormat="1" x14ac:dyDescent="0.25">
      <c r="A469" s="530"/>
      <c r="B469" s="384" t="s">
        <v>164</v>
      </c>
      <c r="C469" s="415">
        <v>400</v>
      </c>
      <c r="D469" s="415">
        <v>400</v>
      </c>
      <c r="E469" s="415">
        <f>C469+'2016'!E344+'2017'!E341+'2018'!E351</f>
        <v>1600</v>
      </c>
      <c r="F469" s="415">
        <f>D469+'2016'!F344+'2017'!F341+'2018'!F351</f>
        <v>1600</v>
      </c>
    </row>
    <row r="470" spans="1:6" s="155" customFormat="1" x14ac:dyDescent="0.25">
      <c r="A470" s="530"/>
      <c r="B470" s="384" t="s">
        <v>214</v>
      </c>
      <c r="C470" s="415">
        <v>800</v>
      </c>
      <c r="D470" s="415">
        <v>1050</v>
      </c>
      <c r="E470" s="415">
        <f>C470+'2016'!E345+'2017'!E342+'2018'!E352</f>
        <v>3200</v>
      </c>
      <c r="F470" s="415">
        <f>D470+'2016'!F345+'2017'!F342+'2018'!F352</f>
        <v>3690</v>
      </c>
    </row>
    <row r="471" spans="1:6" s="155" customFormat="1" x14ac:dyDescent="0.25">
      <c r="A471" s="530"/>
      <c r="B471" s="384" t="s">
        <v>215</v>
      </c>
      <c r="C471" s="415">
        <v>700</v>
      </c>
      <c r="D471" s="415">
        <v>700</v>
      </c>
      <c r="E471" s="415">
        <f>C471+'2016'!E346+'2017'!E343+'2018'!E353</f>
        <v>2500</v>
      </c>
      <c r="F471" s="415">
        <f>D471+'2016'!F346+'2017'!F343+'2018'!F353</f>
        <v>2500</v>
      </c>
    </row>
    <row r="472" spans="1:6" ht="105" x14ac:dyDescent="0.25">
      <c r="A472" s="530">
        <v>150</v>
      </c>
      <c r="B472" s="384" t="s">
        <v>217</v>
      </c>
      <c r="C472" s="412">
        <f>C473</f>
        <v>900</v>
      </c>
      <c r="D472" s="412">
        <f>D473</f>
        <v>920</v>
      </c>
      <c r="E472" s="412">
        <f>E473</f>
        <v>4100</v>
      </c>
      <c r="F472" s="412">
        <f>F473</f>
        <v>4240</v>
      </c>
    </row>
    <row r="473" spans="1:6" s="155" customFormat="1" x14ac:dyDescent="0.25">
      <c r="A473" s="530"/>
      <c r="B473" s="387" t="s">
        <v>19</v>
      </c>
      <c r="C473" s="415">
        <f>C476+C475+C477</f>
        <v>900</v>
      </c>
      <c r="D473" s="415">
        <f>D476+D475+D477</f>
        <v>920</v>
      </c>
      <c r="E473" s="415">
        <f>E476+E475+E477</f>
        <v>4100</v>
      </c>
      <c r="F473" s="415">
        <f>F476+F475+F477</f>
        <v>4240</v>
      </c>
    </row>
    <row r="474" spans="1:6" x14ac:dyDescent="0.25">
      <c r="A474" s="530"/>
      <c r="B474" s="384" t="s">
        <v>155</v>
      </c>
      <c r="C474" s="412"/>
      <c r="D474" s="412"/>
      <c r="E474" s="414"/>
      <c r="F474" s="414"/>
    </row>
    <row r="475" spans="1:6" x14ac:dyDescent="0.25">
      <c r="A475" s="530"/>
      <c r="B475" s="384" t="s">
        <v>164</v>
      </c>
      <c r="C475" s="412">
        <v>200</v>
      </c>
      <c r="D475" s="412">
        <v>200</v>
      </c>
      <c r="E475" s="415">
        <f>C475+'2016'!E350+'2017'!E347+'2018'!E357</f>
        <v>800</v>
      </c>
      <c r="F475" s="415">
        <f>D475+'2016'!F350+'2017'!F347+'2018'!F357</f>
        <v>800</v>
      </c>
    </row>
    <row r="476" spans="1:6" x14ac:dyDescent="0.25">
      <c r="A476" s="530"/>
      <c r="B476" s="384" t="s">
        <v>214</v>
      </c>
      <c r="C476" s="412">
        <v>200</v>
      </c>
      <c r="D476" s="412">
        <v>220</v>
      </c>
      <c r="E476" s="415">
        <f>C476+'2016'!E351+'2017'!E348+'2018'!E358</f>
        <v>800</v>
      </c>
      <c r="F476" s="415">
        <f>D476+'2016'!F351+'2017'!F348+'2018'!F358</f>
        <v>940</v>
      </c>
    </row>
    <row r="477" spans="1:6" x14ac:dyDescent="0.25">
      <c r="A477" s="530"/>
      <c r="B477" s="384" t="s">
        <v>215</v>
      </c>
      <c r="C477" s="412">
        <v>500</v>
      </c>
      <c r="D477" s="412">
        <v>500</v>
      </c>
      <c r="E477" s="415">
        <f>C477+'2016'!E352+'2017'!E349+'2018'!E359</f>
        <v>2500</v>
      </c>
      <c r="F477" s="415">
        <f>D477+'2016'!F352+'2017'!F349+'2018'!F359</f>
        <v>2500</v>
      </c>
    </row>
    <row r="478" spans="1:6" ht="75" x14ac:dyDescent="0.25">
      <c r="A478" s="530">
        <v>151</v>
      </c>
      <c r="B478" s="384" t="s">
        <v>218</v>
      </c>
      <c r="C478" s="412">
        <f>C479</f>
        <v>1000</v>
      </c>
      <c r="D478" s="412">
        <f>D479</f>
        <v>1000</v>
      </c>
      <c r="E478" s="412">
        <f>E479</f>
        <v>48000</v>
      </c>
      <c r="F478" s="412">
        <f>F479</f>
        <v>51050</v>
      </c>
    </row>
    <row r="479" spans="1:6" s="155" customFormat="1" x14ac:dyDescent="0.25">
      <c r="A479" s="530"/>
      <c r="B479" s="387" t="s">
        <v>19</v>
      </c>
      <c r="C479" s="415">
        <f>C481+C482</f>
        <v>1000</v>
      </c>
      <c r="D479" s="415">
        <f>D481+D482</f>
        <v>1000</v>
      </c>
      <c r="E479" s="415">
        <f>E481+E482</f>
        <v>48000</v>
      </c>
      <c r="F479" s="415">
        <f>F481+F482</f>
        <v>51050</v>
      </c>
    </row>
    <row r="480" spans="1:6" x14ac:dyDescent="0.25">
      <c r="A480" s="530"/>
      <c r="B480" s="384" t="s">
        <v>155</v>
      </c>
      <c r="C480" s="412"/>
      <c r="D480" s="412"/>
      <c r="E480" s="414"/>
      <c r="F480" s="414"/>
    </row>
    <row r="481" spans="1:6" x14ac:dyDescent="0.25">
      <c r="A481" s="530"/>
      <c r="B481" s="384" t="s">
        <v>214</v>
      </c>
      <c r="C481" s="412"/>
      <c r="D481" s="412"/>
      <c r="E481" s="415">
        <f>C481+'2016'!E356+'2017'!E353+'2018'!E363</f>
        <v>45000</v>
      </c>
      <c r="F481" s="415">
        <f>D481+'2016'!F356+'2017'!F353+'2018'!F363</f>
        <v>48050</v>
      </c>
    </row>
    <row r="482" spans="1:6" x14ac:dyDescent="0.25">
      <c r="A482" s="530"/>
      <c r="B482" s="384" t="s">
        <v>215</v>
      </c>
      <c r="C482" s="412">
        <v>1000</v>
      </c>
      <c r="D482" s="412">
        <v>1000</v>
      </c>
      <c r="E482" s="415">
        <f>C482+'2016'!E357+'2017'!E354+'2018'!E364</f>
        <v>3000</v>
      </c>
      <c r="F482" s="415">
        <f>D482+'2016'!F357+'2017'!F354+'2018'!F364</f>
        <v>3000</v>
      </c>
    </row>
    <row r="483" spans="1:6" ht="60" x14ac:dyDescent="0.25">
      <c r="A483" s="530">
        <v>152</v>
      </c>
      <c r="B483" s="384" t="s">
        <v>219</v>
      </c>
      <c r="C483" s="412">
        <f>C484</f>
        <v>900</v>
      </c>
      <c r="D483" s="412">
        <f>D484</f>
        <v>900</v>
      </c>
      <c r="E483" s="412">
        <f>E484</f>
        <v>3600</v>
      </c>
      <c r="F483" s="412">
        <f>F484</f>
        <v>3600</v>
      </c>
    </row>
    <row r="484" spans="1:6" s="155" customFormat="1" x14ac:dyDescent="0.25">
      <c r="A484" s="530"/>
      <c r="B484" s="387" t="s">
        <v>19</v>
      </c>
      <c r="C484" s="415">
        <f>C486+C487+C488</f>
        <v>900</v>
      </c>
      <c r="D484" s="415">
        <f>D486+D487+D488</f>
        <v>900</v>
      </c>
      <c r="E484" s="415">
        <f>E486+E487+E488</f>
        <v>3600</v>
      </c>
      <c r="F484" s="415">
        <f>F486+F487+F488</f>
        <v>3600</v>
      </c>
    </row>
    <row r="485" spans="1:6" x14ac:dyDescent="0.25">
      <c r="A485" s="530"/>
      <c r="B485" s="384" t="s">
        <v>155</v>
      </c>
      <c r="C485" s="412"/>
      <c r="D485" s="412"/>
      <c r="E485" s="414"/>
      <c r="F485" s="414"/>
    </row>
    <row r="486" spans="1:6" x14ac:dyDescent="0.25">
      <c r="A486" s="530"/>
      <c r="B486" s="384" t="s">
        <v>164</v>
      </c>
      <c r="C486" s="412">
        <v>200</v>
      </c>
      <c r="D486" s="412">
        <v>200</v>
      </c>
      <c r="E486" s="415">
        <f>C486+'2016'!E361+'2017'!E358+'2018'!E368</f>
        <v>800</v>
      </c>
      <c r="F486" s="415">
        <f>D486+'2016'!F361+'2017'!F358+'2018'!F368</f>
        <v>800</v>
      </c>
    </row>
    <row r="487" spans="1:6" x14ac:dyDescent="0.25">
      <c r="A487" s="530"/>
      <c r="B487" s="384" t="s">
        <v>214</v>
      </c>
      <c r="C487" s="412">
        <v>200</v>
      </c>
      <c r="D487" s="412">
        <v>200</v>
      </c>
      <c r="E487" s="415">
        <f>C487+'2016'!E362+'2017'!E359+'2018'!E369</f>
        <v>800</v>
      </c>
      <c r="F487" s="415">
        <f>D487+'2016'!F362+'2017'!F359+'2018'!F369</f>
        <v>800</v>
      </c>
    </row>
    <row r="488" spans="1:6" x14ac:dyDescent="0.25">
      <c r="A488" s="530"/>
      <c r="B488" s="384" t="s">
        <v>215</v>
      </c>
      <c r="C488" s="412">
        <v>500</v>
      </c>
      <c r="D488" s="412">
        <v>500</v>
      </c>
      <c r="E488" s="415">
        <f>C488+'2016'!E363+'2017'!E360+'2018'!E370</f>
        <v>2000</v>
      </c>
      <c r="F488" s="415">
        <f>D488+'2016'!F363+'2017'!F360+'2018'!F370</f>
        <v>2000</v>
      </c>
    </row>
    <row r="489" spans="1:6" ht="45" x14ac:dyDescent="0.25">
      <c r="A489" s="530">
        <v>153</v>
      </c>
      <c r="B489" s="384" t="s">
        <v>220</v>
      </c>
      <c r="C489" s="412">
        <f>C490</f>
        <v>1200</v>
      </c>
      <c r="D489" s="412">
        <f>D490</f>
        <v>1200</v>
      </c>
      <c r="E489" s="412">
        <f>E490</f>
        <v>7026.5</v>
      </c>
      <c r="F489" s="412">
        <f>F490</f>
        <v>7026.5</v>
      </c>
    </row>
    <row r="490" spans="1:6" s="155" customFormat="1" x14ac:dyDescent="0.25">
      <c r="A490" s="495"/>
      <c r="B490" s="505" t="s">
        <v>13</v>
      </c>
      <c r="C490" s="535">
        <f>C492+C493+C494</f>
        <v>1200</v>
      </c>
      <c r="D490" s="535">
        <f>D492+D493+D494</f>
        <v>1200</v>
      </c>
      <c r="E490" s="535">
        <f>E492+E493+E494</f>
        <v>7026.5</v>
      </c>
      <c r="F490" s="535">
        <f>F492+F493+F494</f>
        <v>7026.5</v>
      </c>
    </row>
    <row r="491" spans="1:6" x14ac:dyDescent="0.25">
      <c r="A491" s="530"/>
      <c r="B491" s="384" t="s">
        <v>155</v>
      </c>
      <c r="C491" s="412"/>
      <c r="D491" s="412"/>
      <c r="E491" s="414"/>
      <c r="F491" s="414"/>
    </row>
    <row r="492" spans="1:6" x14ac:dyDescent="0.25">
      <c r="A492" s="530"/>
      <c r="B492" s="384" t="s">
        <v>164</v>
      </c>
      <c r="C492" s="412">
        <v>200</v>
      </c>
      <c r="D492" s="412">
        <v>200</v>
      </c>
      <c r="E492" s="415">
        <f>C492+'2016'!E367+'2017'!E364+'2018'!E374</f>
        <v>400</v>
      </c>
      <c r="F492" s="415">
        <f>D492+'2018'!E374+'2017'!E364</f>
        <v>400</v>
      </c>
    </row>
    <row r="493" spans="1:6" x14ac:dyDescent="0.25">
      <c r="A493" s="530"/>
      <c r="B493" s="384" t="s">
        <v>214</v>
      </c>
      <c r="C493" s="412">
        <v>1000</v>
      </c>
      <c r="D493" s="412">
        <v>1000</v>
      </c>
      <c r="E493" s="415">
        <f>C493+'2016'!E368+'2017'!E365+'2018'!E375</f>
        <v>5626.5</v>
      </c>
      <c r="F493" s="415">
        <f>D493+'2018'!E375+'2017'!E365+2626.5</f>
        <v>5626.5</v>
      </c>
    </row>
    <row r="494" spans="1:6" x14ac:dyDescent="0.25">
      <c r="A494" s="530"/>
      <c r="B494" s="384" t="s">
        <v>215</v>
      </c>
      <c r="C494" s="412"/>
      <c r="D494" s="412"/>
      <c r="E494" s="415">
        <f>C494+'2016'!E369+'2018'!E376</f>
        <v>1000</v>
      </c>
      <c r="F494" s="415">
        <f>D494+'2018'!E376</f>
        <v>1000</v>
      </c>
    </row>
    <row r="495" spans="1:6" ht="45" x14ac:dyDescent="0.25">
      <c r="A495" s="495">
        <v>154</v>
      </c>
      <c r="B495" s="434" t="s">
        <v>666</v>
      </c>
      <c r="C495" s="515">
        <f>C496</f>
        <v>2800</v>
      </c>
      <c r="D495" s="515">
        <f>D496</f>
        <v>2800</v>
      </c>
      <c r="E495" s="515">
        <f>E496</f>
        <v>4600</v>
      </c>
      <c r="F495" s="515">
        <f>F496</f>
        <v>4600</v>
      </c>
    </row>
    <row r="496" spans="1:6" x14ac:dyDescent="0.25">
      <c r="A496" s="495"/>
      <c r="B496" s="505" t="s">
        <v>13</v>
      </c>
      <c r="C496" s="535">
        <f>C498+C499+C500</f>
        <v>2800</v>
      </c>
      <c r="D496" s="535">
        <f>D498+D499+D500</f>
        <v>2800</v>
      </c>
      <c r="E496" s="535">
        <f>E498+E499+E500</f>
        <v>4600</v>
      </c>
      <c r="F496" s="535">
        <f>F498+F499+F500</f>
        <v>4600</v>
      </c>
    </row>
    <row r="497" spans="1:6" x14ac:dyDescent="0.25">
      <c r="A497" s="495"/>
      <c r="B497" s="434" t="s">
        <v>155</v>
      </c>
      <c r="C497" s="515"/>
      <c r="D497" s="515"/>
      <c r="E497" s="535"/>
      <c r="F497" s="535"/>
    </row>
    <row r="498" spans="1:6" x14ac:dyDescent="0.25">
      <c r="A498" s="495"/>
      <c r="B498" s="434" t="s">
        <v>164</v>
      </c>
      <c r="C498" s="515">
        <v>300</v>
      </c>
      <c r="D498" s="515">
        <v>300</v>
      </c>
      <c r="E498" s="535">
        <f>C498+'2017'!E369</f>
        <v>600</v>
      </c>
      <c r="F498" s="535">
        <f>D498+'2017'!E369</f>
        <v>600</v>
      </c>
    </row>
    <row r="499" spans="1:6" x14ac:dyDescent="0.25">
      <c r="A499" s="495"/>
      <c r="B499" s="434" t="s">
        <v>214</v>
      </c>
      <c r="C499" s="515">
        <v>1500</v>
      </c>
      <c r="D499" s="515">
        <v>1500</v>
      </c>
      <c r="E499" s="535">
        <f>C499+'2017'!E370</f>
        <v>3000</v>
      </c>
      <c r="F499" s="535">
        <f>D499+'2017'!E370</f>
        <v>3000</v>
      </c>
    </row>
    <row r="500" spans="1:6" x14ac:dyDescent="0.25">
      <c r="A500" s="495"/>
      <c r="B500" s="434" t="s">
        <v>215</v>
      </c>
      <c r="C500" s="515">
        <v>1000</v>
      </c>
      <c r="D500" s="515">
        <v>1000</v>
      </c>
      <c r="E500" s="535">
        <f>C500</f>
        <v>1000</v>
      </c>
      <c r="F500" s="535">
        <f>D500</f>
        <v>1000</v>
      </c>
    </row>
    <row r="501" spans="1:6" ht="30" x14ac:dyDescent="0.25">
      <c r="A501" s="530">
        <v>155</v>
      </c>
      <c r="B501" s="384" t="s">
        <v>221</v>
      </c>
      <c r="C501" s="412">
        <f>C502+C503</f>
        <v>37500</v>
      </c>
      <c r="D501" s="412">
        <f>D502+D503</f>
        <v>67930</v>
      </c>
      <c r="E501" s="412">
        <f>E502+E503</f>
        <v>136054</v>
      </c>
      <c r="F501" s="412">
        <f>F502+F503</f>
        <v>212543.5</v>
      </c>
    </row>
    <row r="502" spans="1:6" x14ac:dyDescent="0.25">
      <c r="A502" s="530"/>
      <c r="B502" s="387" t="s">
        <v>13</v>
      </c>
      <c r="C502" s="415">
        <f t="shared" ref="C502:F503" si="8">C506+C509+C512</f>
        <v>19000</v>
      </c>
      <c r="D502" s="415">
        <f t="shared" si="8"/>
        <v>19000</v>
      </c>
      <c r="E502" s="415">
        <f t="shared" si="8"/>
        <v>43054</v>
      </c>
      <c r="F502" s="415">
        <f t="shared" si="8"/>
        <v>41156.5</v>
      </c>
    </row>
    <row r="503" spans="1:6" s="155" customFormat="1" x14ac:dyDescent="0.25">
      <c r="A503" s="530"/>
      <c r="B503" s="387" t="s">
        <v>19</v>
      </c>
      <c r="C503" s="415">
        <f t="shared" si="8"/>
        <v>18500</v>
      </c>
      <c r="D503" s="415">
        <f t="shared" si="8"/>
        <v>48930</v>
      </c>
      <c r="E503" s="415">
        <f t="shared" si="8"/>
        <v>93000</v>
      </c>
      <c r="F503" s="415">
        <f t="shared" si="8"/>
        <v>171387</v>
      </c>
    </row>
    <row r="504" spans="1:6" x14ac:dyDescent="0.25">
      <c r="A504" s="530"/>
      <c r="B504" s="384" t="s">
        <v>155</v>
      </c>
      <c r="C504" s="412"/>
      <c r="D504" s="412"/>
      <c r="E504" s="414"/>
      <c r="F504" s="414"/>
    </row>
    <row r="505" spans="1:6" x14ac:dyDescent="0.25">
      <c r="A505" s="530"/>
      <c r="B505" s="384" t="s">
        <v>164</v>
      </c>
      <c r="C505" s="412">
        <f>C506+C507</f>
        <v>7500</v>
      </c>
      <c r="D505" s="412">
        <f>D506+D507</f>
        <v>7500</v>
      </c>
      <c r="E505" s="412">
        <f>E506+E507</f>
        <v>18315</v>
      </c>
      <c r="F505" s="412">
        <f>F506+F507</f>
        <v>16315</v>
      </c>
    </row>
    <row r="506" spans="1:6" x14ac:dyDescent="0.25">
      <c r="A506" s="530"/>
      <c r="B506" s="387" t="s">
        <v>13</v>
      </c>
      <c r="C506" s="415">
        <v>6000</v>
      </c>
      <c r="D506" s="415">
        <v>6000</v>
      </c>
      <c r="E506" s="415">
        <f>C506+'2016'!E375+'2018'!E382</f>
        <v>13315</v>
      </c>
      <c r="F506" s="415">
        <f>D506+'2018'!E382+2000</f>
        <v>11315</v>
      </c>
    </row>
    <row r="507" spans="1:6" x14ac:dyDescent="0.25">
      <c r="A507" s="530"/>
      <c r="B507" s="387" t="s">
        <v>19</v>
      </c>
      <c r="C507" s="415">
        <v>1500</v>
      </c>
      <c r="D507" s="415">
        <v>1500</v>
      </c>
      <c r="E507" s="415">
        <f>C507+'2016'!E376+'2017'!E374+'2018'!E383</f>
        <v>5000</v>
      </c>
      <c r="F507" s="415">
        <f>D507+'2016'!F376+'2017'!F374+'2018'!F383</f>
        <v>5000</v>
      </c>
    </row>
    <row r="508" spans="1:6" x14ac:dyDescent="0.25">
      <c r="A508" s="530"/>
      <c r="B508" s="384" t="s">
        <v>214</v>
      </c>
      <c r="C508" s="412">
        <f>C509+C510</f>
        <v>21500</v>
      </c>
      <c r="D508" s="412">
        <f>D509+D510</f>
        <v>51930</v>
      </c>
      <c r="E508" s="412">
        <f>E509+E510</f>
        <v>72924</v>
      </c>
      <c r="F508" s="412">
        <f>F509+F510</f>
        <v>151311</v>
      </c>
    </row>
    <row r="509" spans="1:6" x14ac:dyDescent="0.25">
      <c r="A509" s="530"/>
      <c r="B509" s="387" t="s">
        <v>13</v>
      </c>
      <c r="C509" s="415">
        <v>9500</v>
      </c>
      <c r="D509" s="415">
        <v>9500</v>
      </c>
      <c r="E509" s="415">
        <f>C509+'2016'!E378+'2018'!E385</f>
        <v>24924</v>
      </c>
      <c r="F509" s="412">
        <f>D509+'2018'!E385+8000</f>
        <v>24924</v>
      </c>
    </row>
    <row r="510" spans="1:6" x14ac:dyDescent="0.25">
      <c r="A510" s="530"/>
      <c r="B510" s="387" t="s">
        <v>19</v>
      </c>
      <c r="C510" s="415">
        <v>12000</v>
      </c>
      <c r="D510" s="412">
        <v>42430</v>
      </c>
      <c r="E510" s="415">
        <f>C510+'2016'!E379+'2017'!E375+'2018'!E386</f>
        <v>48000</v>
      </c>
      <c r="F510" s="412">
        <f>D510+'2016'!F379+'2017'!F375+'2018'!F386</f>
        <v>126387</v>
      </c>
    </row>
    <row r="511" spans="1:6" x14ac:dyDescent="0.25">
      <c r="A511" s="530"/>
      <c r="B511" s="384" t="s">
        <v>215</v>
      </c>
      <c r="C511" s="412">
        <f>C512+C513</f>
        <v>8500</v>
      </c>
      <c r="D511" s="412">
        <f>D512+D513</f>
        <v>8500</v>
      </c>
      <c r="E511" s="412">
        <f>E512+E513</f>
        <v>44815</v>
      </c>
      <c r="F511" s="412">
        <f>F512+F513</f>
        <v>44917.5</v>
      </c>
    </row>
    <row r="512" spans="1:6" x14ac:dyDescent="0.25">
      <c r="A512" s="530"/>
      <c r="B512" s="387" t="s">
        <v>13</v>
      </c>
      <c r="C512" s="415">
        <v>3500</v>
      </c>
      <c r="D512" s="415">
        <v>3500</v>
      </c>
      <c r="E512" s="415">
        <f>C512+'2016'!E381+'2018'!E388</f>
        <v>4815</v>
      </c>
      <c r="F512" s="415">
        <f>D512+'2018'!E388+102.5</f>
        <v>4917.5</v>
      </c>
    </row>
    <row r="513" spans="1:6" x14ac:dyDescent="0.25">
      <c r="A513" s="530"/>
      <c r="B513" s="387" t="s">
        <v>19</v>
      </c>
      <c r="C513" s="415">
        <v>5000</v>
      </c>
      <c r="D513" s="415">
        <v>5000</v>
      </c>
      <c r="E513" s="415">
        <f>C513+'2016'!E382+'2017'!E376+'2018'!E389</f>
        <v>40000</v>
      </c>
      <c r="F513" s="415">
        <f>D513+'2016'!F382+'2017'!F376+'2018'!F389</f>
        <v>40000</v>
      </c>
    </row>
    <row r="514" spans="1:6" ht="30" x14ac:dyDescent="0.25">
      <c r="A514" s="530">
        <v>156</v>
      </c>
      <c r="B514" s="384" t="s">
        <v>222</v>
      </c>
      <c r="C514" s="412">
        <f>C515+C516</f>
        <v>80000</v>
      </c>
      <c r="D514" s="412">
        <f>D515+D516</f>
        <v>99900</v>
      </c>
      <c r="E514" s="412">
        <f>E515+E516</f>
        <v>297429</v>
      </c>
      <c r="F514" s="412">
        <f>F515+F516</f>
        <v>341054.64</v>
      </c>
    </row>
    <row r="515" spans="1:6" s="504" customFormat="1" x14ac:dyDescent="0.25">
      <c r="A515" s="495"/>
      <c r="B515" s="505" t="s">
        <v>13</v>
      </c>
      <c r="C515" s="535">
        <f t="shared" ref="C515:F516" si="9">C519+C522</f>
        <v>10000</v>
      </c>
      <c r="D515" s="535">
        <f t="shared" si="9"/>
        <v>10000</v>
      </c>
      <c r="E515" s="535">
        <f t="shared" si="9"/>
        <v>23929</v>
      </c>
      <c r="F515" s="535">
        <f t="shared" si="9"/>
        <v>24080.44</v>
      </c>
    </row>
    <row r="516" spans="1:6" s="155" customFormat="1" x14ac:dyDescent="0.25">
      <c r="A516" s="530"/>
      <c r="B516" s="387" t="s">
        <v>19</v>
      </c>
      <c r="C516" s="415">
        <f t="shared" si="9"/>
        <v>70000</v>
      </c>
      <c r="D516" s="415">
        <f t="shared" si="9"/>
        <v>89900</v>
      </c>
      <c r="E516" s="415">
        <f t="shared" si="9"/>
        <v>273500</v>
      </c>
      <c r="F516" s="415">
        <f t="shared" si="9"/>
        <v>316974.2</v>
      </c>
    </row>
    <row r="517" spans="1:6" x14ac:dyDescent="0.25">
      <c r="A517" s="530"/>
      <c r="B517" s="384" t="s">
        <v>155</v>
      </c>
      <c r="C517" s="412"/>
      <c r="D517" s="412"/>
      <c r="E517" s="414"/>
      <c r="F517" s="414"/>
    </row>
    <row r="518" spans="1:6" x14ac:dyDescent="0.25">
      <c r="A518" s="530"/>
      <c r="B518" s="384" t="s">
        <v>214</v>
      </c>
      <c r="C518" s="412">
        <f>C519+C520</f>
        <v>67000</v>
      </c>
      <c r="D518" s="412">
        <f>D519+D520</f>
        <v>86900</v>
      </c>
      <c r="E518" s="412">
        <f>E519+E520</f>
        <v>257000</v>
      </c>
      <c r="F518" s="412">
        <f>F519+F520</f>
        <v>300474.2</v>
      </c>
    </row>
    <row r="519" spans="1:6" x14ac:dyDescent="0.25">
      <c r="A519" s="530"/>
      <c r="B519" s="387" t="s">
        <v>13</v>
      </c>
      <c r="C519" s="415">
        <v>7000</v>
      </c>
      <c r="D519" s="415">
        <v>7000</v>
      </c>
      <c r="E519" s="415">
        <f>C519+'2017'!E384</f>
        <v>17000</v>
      </c>
      <c r="F519" s="415">
        <f>D519+'2017'!E384</f>
        <v>17000</v>
      </c>
    </row>
    <row r="520" spans="1:6" x14ac:dyDescent="0.25">
      <c r="A520" s="530"/>
      <c r="B520" s="387" t="s">
        <v>19</v>
      </c>
      <c r="C520" s="415">
        <v>60000</v>
      </c>
      <c r="D520" s="415">
        <v>79900</v>
      </c>
      <c r="E520" s="415">
        <f>C520+'2016'!E386+'2017'!E380+'2018'!E394</f>
        <v>240000</v>
      </c>
      <c r="F520" s="415">
        <f>D520+'2016'!F386+'2017'!F380+'2018'!F394</f>
        <v>283474.2</v>
      </c>
    </row>
    <row r="521" spans="1:6" x14ac:dyDescent="0.25">
      <c r="A521" s="530"/>
      <c r="B521" s="384" t="s">
        <v>215</v>
      </c>
      <c r="C521" s="412">
        <f>C522+C523</f>
        <v>13000</v>
      </c>
      <c r="D521" s="412">
        <f>D522+D523</f>
        <v>13000</v>
      </c>
      <c r="E521" s="412">
        <f>E522+E523</f>
        <v>40429</v>
      </c>
      <c r="F521" s="412">
        <f>F522+F523</f>
        <v>40580.44</v>
      </c>
    </row>
    <row r="522" spans="1:6" s="155" customFormat="1" x14ac:dyDescent="0.25">
      <c r="A522" s="530"/>
      <c r="B522" s="387" t="s">
        <v>13</v>
      </c>
      <c r="C522" s="415">
        <v>3000</v>
      </c>
      <c r="D522" s="415">
        <v>3000</v>
      </c>
      <c r="E522" s="415">
        <f>C522+'2017'!E385+'2018'!E397</f>
        <v>6929</v>
      </c>
      <c r="F522" s="415">
        <f>D522+'2017'!E385+'2018'!E397+151.44</f>
        <v>7080.44</v>
      </c>
    </row>
    <row r="523" spans="1:6" s="155" customFormat="1" x14ac:dyDescent="0.25">
      <c r="A523" s="530"/>
      <c r="B523" s="387" t="s">
        <v>19</v>
      </c>
      <c r="C523" s="415">
        <v>10000</v>
      </c>
      <c r="D523" s="415">
        <v>10000</v>
      </c>
      <c r="E523" s="415">
        <f>C523+'2016'!E387+'2017'!E381+'2018'!E398</f>
        <v>33500</v>
      </c>
      <c r="F523" s="415">
        <f>D523+'2016'!F387+'2017'!F381+'2018'!F398</f>
        <v>33500</v>
      </c>
    </row>
    <row r="524" spans="1:6" ht="45" x14ac:dyDescent="0.25">
      <c r="A524" s="530">
        <v>157</v>
      </c>
      <c r="B524" s="384" t="s">
        <v>223</v>
      </c>
      <c r="C524" s="412">
        <f>C525</f>
        <v>6000</v>
      </c>
      <c r="D524" s="412">
        <f>D525</f>
        <v>6100</v>
      </c>
      <c r="E524" s="412">
        <f>E525</f>
        <v>20500</v>
      </c>
      <c r="F524" s="412">
        <f>F525</f>
        <v>23886.77</v>
      </c>
    </row>
    <row r="525" spans="1:6" s="155" customFormat="1" x14ac:dyDescent="0.25">
      <c r="A525" s="530"/>
      <c r="B525" s="387" t="s">
        <v>19</v>
      </c>
      <c r="C525" s="415">
        <f>C527+C528+C529</f>
        <v>6000</v>
      </c>
      <c r="D525" s="415">
        <f>D527+D528+D529</f>
        <v>6100</v>
      </c>
      <c r="E525" s="415">
        <f>E527+E528+E529</f>
        <v>20500</v>
      </c>
      <c r="F525" s="415">
        <f>F527+F528+F529</f>
        <v>23886.77</v>
      </c>
    </row>
    <row r="526" spans="1:6" x14ac:dyDescent="0.25">
      <c r="A526" s="530"/>
      <c r="B526" s="384" t="s">
        <v>155</v>
      </c>
      <c r="C526" s="412"/>
      <c r="D526" s="412"/>
      <c r="E526" s="414"/>
      <c r="F526" s="414"/>
    </row>
    <row r="527" spans="1:6" x14ac:dyDescent="0.25">
      <c r="A527" s="530"/>
      <c r="B527" s="384" t="s">
        <v>164</v>
      </c>
      <c r="C527" s="412">
        <v>500</v>
      </c>
      <c r="D527" s="412">
        <v>500</v>
      </c>
      <c r="E527" s="412">
        <f>C527+'2016'!E394+'2017'!E389+'2018'!E402</f>
        <v>2000</v>
      </c>
      <c r="F527" s="412">
        <f>D527+'2016'!F394+'2017'!F389+'2018'!F402</f>
        <v>2000</v>
      </c>
    </row>
    <row r="528" spans="1:6" x14ac:dyDescent="0.25">
      <c r="A528" s="530"/>
      <c r="B528" s="384" t="s">
        <v>214</v>
      </c>
      <c r="C528" s="412">
        <v>2500</v>
      </c>
      <c r="D528" s="412">
        <v>2600</v>
      </c>
      <c r="E528" s="412">
        <f>C528+'2016'!E395+'2017'!E390+'2018'!E403</f>
        <v>10000</v>
      </c>
      <c r="F528" s="412">
        <f>D528+'2016'!F395+'2017'!F390+'2018'!F403</f>
        <v>13386.77</v>
      </c>
    </row>
    <row r="529" spans="1:6" x14ac:dyDescent="0.25">
      <c r="A529" s="530"/>
      <c r="B529" s="384" t="s">
        <v>215</v>
      </c>
      <c r="C529" s="412">
        <v>3000</v>
      </c>
      <c r="D529" s="412">
        <v>3000</v>
      </c>
      <c r="E529" s="412">
        <f>C529+'2016'!E396+'2017'!E391+'2018'!E404</f>
        <v>8500</v>
      </c>
      <c r="F529" s="412">
        <f>D529+'2016'!F396+'2017'!F391+'2018'!F404</f>
        <v>8500</v>
      </c>
    </row>
    <row r="530" spans="1:6" ht="45" x14ac:dyDescent="0.25">
      <c r="A530" s="530">
        <v>158</v>
      </c>
      <c r="B530" s="384" t="s">
        <v>667</v>
      </c>
      <c r="C530" s="412">
        <f>C531</f>
        <v>7000</v>
      </c>
      <c r="D530" s="412">
        <f>D531</f>
        <v>7000</v>
      </c>
      <c r="E530" s="412">
        <f>E531</f>
        <v>7000</v>
      </c>
      <c r="F530" s="412">
        <f>F531</f>
        <v>7000</v>
      </c>
    </row>
    <row r="531" spans="1:6" x14ac:dyDescent="0.25">
      <c r="A531" s="530"/>
      <c r="B531" s="387" t="s">
        <v>13</v>
      </c>
      <c r="C531" s="415">
        <v>7000</v>
      </c>
      <c r="D531" s="415">
        <v>7000</v>
      </c>
      <c r="E531" s="415">
        <f>C531</f>
        <v>7000</v>
      </c>
      <c r="F531" s="415">
        <f>D531</f>
        <v>7000</v>
      </c>
    </row>
    <row r="532" spans="1:6" ht="45" x14ac:dyDescent="0.25">
      <c r="A532" s="530">
        <v>159</v>
      </c>
      <c r="B532" s="384" t="s">
        <v>550</v>
      </c>
      <c r="C532" s="412"/>
      <c r="D532" s="412"/>
      <c r="E532" s="412">
        <f>E533</f>
        <v>3000</v>
      </c>
      <c r="F532" s="412">
        <f>F533</f>
        <v>1200</v>
      </c>
    </row>
    <row r="533" spans="1:6" x14ac:dyDescent="0.25">
      <c r="A533" s="530"/>
      <c r="B533" s="387" t="s">
        <v>19</v>
      </c>
      <c r="C533" s="412"/>
      <c r="D533" s="412"/>
      <c r="E533" s="415">
        <f>'2017'!E393</f>
        <v>3000</v>
      </c>
      <c r="F533" s="415">
        <f>'2017'!F393</f>
        <v>1200</v>
      </c>
    </row>
    <row r="534" spans="1:6" ht="75" x14ac:dyDescent="0.25">
      <c r="A534" s="530">
        <v>160</v>
      </c>
      <c r="B534" s="384" t="s">
        <v>224</v>
      </c>
      <c r="C534" s="412">
        <f>C535</f>
        <v>1200</v>
      </c>
      <c r="D534" s="412">
        <f>D535</f>
        <v>3900</v>
      </c>
      <c r="E534" s="412">
        <f>E535</f>
        <v>4300</v>
      </c>
      <c r="F534" s="412">
        <f>F535</f>
        <v>9885.9</v>
      </c>
    </row>
    <row r="535" spans="1:6" s="155" customFormat="1" x14ac:dyDescent="0.25">
      <c r="A535" s="530"/>
      <c r="B535" s="387" t="s">
        <v>19</v>
      </c>
      <c r="C535" s="422">
        <f>C537+C538</f>
        <v>1200</v>
      </c>
      <c r="D535" s="422">
        <f>D537+D538</f>
        <v>3900</v>
      </c>
      <c r="E535" s="422">
        <f>E537+E538</f>
        <v>4300</v>
      </c>
      <c r="F535" s="422">
        <f>F537+F538</f>
        <v>9885.9</v>
      </c>
    </row>
    <row r="536" spans="1:6" x14ac:dyDescent="0.25">
      <c r="A536" s="530"/>
      <c r="B536" s="384" t="s">
        <v>155</v>
      </c>
      <c r="C536" s="424"/>
      <c r="D536" s="424"/>
      <c r="E536" s="414"/>
      <c r="F536" s="414"/>
    </row>
    <row r="537" spans="1:6" ht="30" x14ac:dyDescent="0.25">
      <c r="A537" s="530"/>
      <c r="B537" s="384" t="s">
        <v>225</v>
      </c>
      <c r="C537" s="424">
        <v>1200</v>
      </c>
      <c r="D537" s="424">
        <v>3900</v>
      </c>
      <c r="E537" s="424">
        <f>C537+'2016'!E400+'2017'!E397+'2018'!E408</f>
        <v>3900</v>
      </c>
      <c r="F537" s="424">
        <f>D537+'2016'!F400+'2017'!F397+'2018'!F406</f>
        <v>9885.9</v>
      </c>
    </row>
    <row r="538" spans="1:6" x14ac:dyDescent="0.25">
      <c r="A538" s="530"/>
      <c r="B538" s="384" t="s">
        <v>226</v>
      </c>
      <c r="C538" s="424"/>
      <c r="D538" s="424"/>
      <c r="E538" s="424">
        <f>'2016'!E401+'2017'!E398</f>
        <v>400</v>
      </c>
      <c r="F538" s="424">
        <f>'2016'!F401+'2017'!F398</f>
        <v>0</v>
      </c>
    </row>
    <row r="539" spans="1:6" ht="45" x14ac:dyDescent="0.25">
      <c r="A539" s="530">
        <v>161</v>
      </c>
      <c r="B539" s="384" t="s">
        <v>489</v>
      </c>
      <c r="C539" s="412">
        <f>C540</f>
        <v>500</v>
      </c>
      <c r="D539" s="412">
        <f>D540</f>
        <v>0</v>
      </c>
      <c r="E539" s="412">
        <f>E540</f>
        <v>3400</v>
      </c>
      <c r="F539" s="412">
        <f>F540</f>
        <v>930</v>
      </c>
    </row>
    <row r="540" spans="1:6" s="155" customFormat="1" x14ac:dyDescent="0.25">
      <c r="A540" s="530"/>
      <c r="B540" s="387" t="s">
        <v>19</v>
      </c>
      <c r="C540" s="422">
        <f>C542+C543</f>
        <v>500</v>
      </c>
      <c r="D540" s="422">
        <f>D542+D543</f>
        <v>0</v>
      </c>
      <c r="E540" s="422">
        <f>E542+E543</f>
        <v>3400</v>
      </c>
      <c r="F540" s="422">
        <f>F542+F543</f>
        <v>930</v>
      </c>
    </row>
    <row r="541" spans="1:6" x14ac:dyDescent="0.25">
      <c r="A541" s="530"/>
      <c r="B541" s="384" t="s">
        <v>155</v>
      </c>
      <c r="C541" s="426"/>
      <c r="D541" s="424"/>
      <c r="E541" s="414"/>
      <c r="F541" s="414"/>
    </row>
    <row r="542" spans="1:6" ht="30" x14ac:dyDescent="0.25">
      <c r="A542" s="530"/>
      <c r="B542" s="384" t="s">
        <v>225</v>
      </c>
      <c r="C542" s="424">
        <v>500</v>
      </c>
      <c r="D542" s="424"/>
      <c r="E542" s="424">
        <f>C542+'2016'!E405+'2017'!E402+'2018'!E412</f>
        <v>2000</v>
      </c>
      <c r="F542" s="424">
        <f>D542+'2016'!F405+'2017'!F402+'2018'!F412</f>
        <v>930</v>
      </c>
    </row>
    <row r="543" spans="1:6" x14ac:dyDescent="0.25">
      <c r="A543" s="530"/>
      <c r="B543" s="384" t="s">
        <v>226</v>
      </c>
      <c r="C543" s="424"/>
      <c r="D543" s="424"/>
      <c r="E543" s="424">
        <f>'2016'!E406+'2017'!E403</f>
        <v>1400</v>
      </c>
      <c r="F543" s="424">
        <f>'2016'!F406+'2017'!F403</f>
        <v>0</v>
      </c>
    </row>
    <row r="544" spans="1:6" ht="105" x14ac:dyDescent="0.25">
      <c r="A544" s="530">
        <v>162</v>
      </c>
      <c r="B544" s="384" t="s">
        <v>217</v>
      </c>
      <c r="C544" s="412">
        <f>C545</f>
        <v>200</v>
      </c>
      <c r="D544" s="412">
        <f>D545</f>
        <v>0</v>
      </c>
      <c r="E544" s="412">
        <f>E545</f>
        <v>1200</v>
      </c>
      <c r="F544" s="412">
        <f>F545</f>
        <v>405.9</v>
      </c>
    </row>
    <row r="545" spans="1:6" s="155" customFormat="1" x14ac:dyDescent="0.25">
      <c r="A545" s="530"/>
      <c r="B545" s="387" t="s">
        <v>19</v>
      </c>
      <c r="C545" s="422">
        <f>C547+C548</f>
        <v>200</v>
      </c>
      <c r="D545" s="422">
        <f>D547+D548</f>
        <v>0</v>
      </c>
      <c r="E545" s="422">
        <f>E547+E548</f>
        <v>1200</v>
      </c>
      <c r="F545" s="422">
        <f>F547+F548</f>
        <v>405.9</v>
      </c>
    </row>
    <row r="546" spans="1:6" x14ac:dyDescent="0.25">
      <c r="A546" s="530"/>
      <c r="B546" s="384" t="s">
        <v>155</v>
      </c>
      <c r="C546" s="424"/>
      <c r="D546" s="424"/>
      <c r="E546" s="414"/>
      <c r="F546" s="414"/>
    </row>
    <row r="547" spans="1:6" ht="30" x14ac:dyDescent="0.25">
      <c r="A547" s="530"/>
      <c r="B547" s="384" t="s">
        <v>225</v>
      </c>
      <c r="C547" s="424">
        <v>200</v>
      </c>
      <c r="D547" s="424"/>
      <c r="E547" s="424">
        <f>'2019'!E549+'2016'!E410+'2017'!E407+'2018'!E416</f>
        <v>800</v>
      </c>
      <c r="F547" s="424">
        <f>'2019'!F549+'2016'!F410+'2017'!F407+'2018'!F416</f>
        <v>405.9</v>
      </c>
    </row>
    <row r="548" spans="1:6" x14ac:dyDescent="0.25">
      <c r="A548" s="530"/>
      <c r="B548" s="384" t="s">
        <v>226</v>
      </c>
      <c r="C548" s="424"/>
      <c r="D548" s="424"/>
      <c r="E548" s="424">
        <f>'2016'!E411+'2017'!E408</f>
        <v>400</v>
      </c>
      <c r="F548" s="424">
        <f>'2016'!F411+'2017'!F408</f>
        <v>0</v>
      </c>
    </row>
    <row r="549" spans="1:6" ht="90" x14ac:dyDescent="0.25">
      <c r="A549" s="530">
        <v>163</v>
      </c>
      <c r="B549" s="384" t="s">
        <v>551</v>
      </c>
      <c r="C549" s="424"/>
      <c r="D549" s="424"/>
      <c r="E549" s="412">
        <f>E550</f>
        <v>22500</v>
      </c>
      <c r="F549" s="412">
        <f>F550</f>
        <v>1600</v>
      </c>
    </row>
    <row r="550" spans="1:6" x14ac:dyDescent="0.25">
      <c r="A550" s="530"/>
      <c r="B550" s="387" t="s">
        <v>19</v>
      </c>
      <c r="C550" s="424"/>
      <c r="D550" s="424"/>
      <c r="E550" s="422">
        <f>'2017'!E410</f>
        <v>22500</v>
      </c>
      <c r="F550" s="422">
        <f>'2017'!F410</f>
        <v>1600</v>
      </c>
    </row>
    <row r="551" spans="1:6" ht="60" x14ac:dyDescent="0.25">
      <c r="A551" s="530">
        <v>164</v>
      </c>
      <c r="B551" s="384" t="s">
        <v>219</v>
      </c>
      <c r="C551" s="412">
        <f>C552</f>
        <v>700</v>
      </c>
      <c r="D551" s="412">
        <f>D552</f>
        <v>0</v>
      </c>
      <c r="E551" s="412">
        <f>E552+E556</f>
        <v>2800</v>
      </c>
      <c r="F551" s="412">
        <f>F552+F556</f>
        <v>625</v>
      </c>
    </row>
    <row r="552" spans="1:6" s="155" customFormat="1" x14ac:dyDescent="0.25">
      <c r="A552" s="530"/>
      <c r="B552" s="387" t="s">
        <v>19</v>
      </c>
      <c r="C552" s="422">
        <f>C554+C555</f>
        <v>700</v>
      </c>
      <c r="D552" s="422">
        <f>D554+D555</f>
        <v>0</v>
      </c>
      <c r="E552" s="422">
        <f>E554+E555</f>
        <v>2800</v>
      </c>
      <c r="F552" s="422">
        <f>F554+F555</f>
        <v>325</v>
      </c>
    </row>
    <row r="553" spans="1:6" x14ac:dyDescent="0.25">
      <c r="A553" s="530"/>
      <c r="B553" s="384" t="s">
        <v>155</v>
      </c>
      <c r="C553" s="424"/>
      <c r="D553" s="424"/>
      <c r="E553" s="414"/>
      <c r="F553" s="414"/>
    </row>
    <row r="554" spans="1:6" ht="30" x14ac:dyDescent="0.25">
      <c r="A554" s="530"/>
      <c r="B554" s="384" t="s">
        <v>225</v>
      </c>
      <c r="C554" s="424">
        <v>700</v>
      </c>
      <c r="D554" s="424">
        <v>0</v>
      </c>
      <c r="E554" s="424">
        <f>C554+'2016'!E415+'2017'!E414+'2018'!E420</f>
        <v>2400</v>
      </c>
      <c r="F554" s="424">
        <f>D554+'2016'!F415+'2017'!F414+'2018'!F420</f>
        <v>325</v>
      </c>
    </row>
    <row r="555" spans="1:6" x14ac:dyDescent="0.25">
      <c r="A555" s="530"/>
      <c r="B555" s="384" t="s">
        <v>226</v>
      </c>
      <c r="C555" s="424"/>
      <c r="D555" s="424"/>
      <c r="E555" s="424">
        <f>'2016'!E416+'2017'!E415</f>
        <v>400</v>
      </c>
      <c r="F555" s="424">
        <f>'2016'!F416+'2017'!F415</f>
        <v>0</v>
      </c>
    </row>
    <row r="556" spans="1:6" x14ac:dyDescent="0.25">
      <c r="A556" s="530"/>
      <c r="B556" s="387" t="s">
        <v>22</v>
      </c>
      <c r="C556" s="424"/>
      <c r="D556" s="424"/>
      <c r="E556" s="422">
        <f>E557</f>
        <v>0</v>
      </c>
      <c r="F556" s="422">
        <f>F557</f>
        <v>300</v>
      </c>
    </row>
    <row r="557" spans="1:6" ht="30" x14ac:dyDescent="0.25">
      <c r="A557" s="530"/>
      <c r="B557" s="384" t="s">
        <v>225</v>
      </c>
      <c r="C557" s="424"/>
      <c r="D557" s="424"/>
      <c r="E557" s="412">
        <f>'2017'!E417</f>
        <v>0</v>
      </c>
      <c r="F557" s="412">
        <f>'2017'!F417</f>
        <v>300</v>
      </c>
    </row>
    <row r="558" spans="1:6" ht="60" x14ac:dyDescent="0.25">
      <c r="A558" s="530">
        <v>165</v>
      </c>
      <c r="B558" s="384" t="s">
        <v>227</v>
      </c>
      <c r="C558" s="412">
        <f>C559</f>
        <v>400</v>
      </c>
      <c r="D558" s="412">
        <f>D559</f>
        <v>1258</v>
      </c>
      <c r="E558" s="412">
        <f>E559</f>
        <v>1600</v>
      </c>
      <c r="F558" s="412">
        <f>F559</f>
        <v>2229.14</v>
      </c>
    </row>
    <row r="559" spans="1:6" s="155" customFormat="1" x14ac:dyDescent="0.25">
      <c r="A559" s="530"/>
      <c r="B559" s="387" t="s">
        <v>19</v>
      </c>
      <c r="C559" s="422">
        <v>400</v>
      </c>
      <c r="D559" s="422">
        <v>1258</v>
      </c>
      <c r="E559" s="422">
        <f>C559+'2016'!E418+'2017'!E419+'2018'!E422</f>
        <v>1600</v>
      </c>
      <c r="F559" s="422">
        <f>D559+'2016'!F418+'2017'!F419+'2018'!F422</f>
        <v>2229.14</v>
      </c>
    </row>
    <row r="560" spans="1:6" ht="90" x14ac:dyDescent="0.25">
      <c r="A560" s="530">
        <v>166</v>
      </c>
      <c r="B560" s="384" t="s">
        <v>228</v>
      </c>
      <c r="C560" s="412">
        <f>C561</f>
        <v>400</v>
      </c>
      <c r="D560" s="412">
        <f>D561</f>
        <v>400</v>
      </c>
      <c r="E560" s="412">
        <f>E561</f>
        <v>1600</v>
      </c>
      <c r="F560" s="412">
        <f>F561</f>
        <v>1119</v>
      </c>
    </row>
    <row r="561" spans="1:6" s="155" customFormat="1" x14ac:dyDescent="0.25">
      <c r="A561" s="530"/>
      <c r="B561" s="387" t="s">
        <v>19</v>
      </c>
      <c r="C561" s="422">
        <v>400</v>
      </c>
      <c r="D561" s="422">
        <v>400</v>
      </c>
      <c r="E561" s="422">
        <f>C561+'2016'!E420+'2017'!E421+'2018'!E424</f>
        <v>1600</v>
      </c>
      <c r="F561" s="422">
        <f>D561+'2016'!F420+'2017'!F421+'2018'!F424</f>
        <v>1119</v>
      </c>
    </row>
    <row r="562" spans="1:6" ht="62.25" customHeight="1" x14ac:dyDescent="0.25">
      <c r="A562" s="530">
        <v>167</v>
      </c>
      <c r="B562" s="384" t="s">
        <v>229</v>
      </c>
      <c r="C562" s="412">
        <f>C563</f>
        <v>3000</v>
      </c>
      <c r="D562" s="412">
        <f>D563</f>
        <v>5300</v>
      </c>
      <c r="E562" s="412">
        <f>E563</f>
        <v>9400</v>
      </c>
      <c r="F562" s="412">
        <f>F563</f>
        <v>9900</v>
      </c>
    </row>
    <row r="563" spans="1:6" s="155" customFormat="1" x14ac:dyDescent="0.25">
      <c r="A563" s="530"/>
      <c r="B563" s="387" t="s">
        <v>19</v>
      </c>
      <c r="C563" s="422">
        <v>3000</v>
      </c>
      <c r="D563" s="422">
        <v>5300</v>
      </c>
      <c r="E563" s="422">
        <f>C563+'2016'!E422+'2017'!E423+'2018'!E426</f>
        <v>9400</v>
      </c>
      <c r="F563" s="422">
        <f>D563+'2016'!F422+'2017'!F423+'2018'!F426</f>
        <v>9900</v>
      </c>
    </row>
    <row r="564" spans="1:6" ht="45" x14ac:dyDescent="0.25">
      <c r="A564" s="530">
        <v>168</v>
      </c>
      <c r="B564" s="384" t="s">
        <v>230</v>
      </c>
      <c r="C564" s="412">
        <f>C565</f>
        <v>2400</v>
      </c>
      <c r="D564" s="412">
        <f>D565</f>
        <v>453</v>
      </c>
      <c r="E564" s="412">
        <f>E565+E569</f>
        <v>7500</v>
      </c>
      <c r="F564" s="412">
        <f>F565+F569</f>
        <v>8167</v>
      </c>
    </row>
    <row r="565" spans="1:6" s="155" customFormat="1" x14ac:dyDescent="0.25">
      <c r="A565" s="530"/>
      <c r="B565" s="387" t="s">
        <v>19</v>
      </c>
      <c r="C565" s="422">
        <f>C567+C568</f>
        <v>2400</v>
      </c>
      <c r="D565" s="422">
        <f>D567+D568</f>
        <v>453</v>
      </c>
      <c r="E565" s="422">
        <f>E567+E568</f>
        <v>7500</v>
      </c>
      <c r="F565" s="422">
        <f>F567+F568</f>
        <v>6067</v>
      </c>
    </row>
    <row r="566" spans="1:6" x14ac:dyDescent="0.25">
      <c r="A566" s="530"/>
      <c r="B566" s="384" t="s">
        <v>155</v>
      </c>
      <c r="C566" s="424"/>
      <c r="D566" s="424"/>
      <c r="E566" s="424"/>
      <c r="F566" s="424"/>
    </row>
    <row r="567" spans="1:6" ht="30" x14ac:dyDescent="0.25">
      <c r="A567" s="530"/>
      <c r="B567" s="384" t="s">
        <v>225</v>
      </c>
      <c r="C567" s="424">
        <v>1300</v>
      </c>
      <c r="D567" s="424"/>
      <c r="E567" s="424">
        <f>C567+'2016'!E426+'2017'!E428+'2018'!E430</f>
        <v>3700</v>
      </c>
      <c r="F567" s="424">
        <f>D567+'2016'!F426+'2017'!F428+'2018'!F430</f>
        <v>2500</v>
      </c>
    </row>
    <row r="568" spans="1:6" x14ac:dyDescent="0.25">
      <c r="A568" s="530"/>
      <c r="B568" s="384" t="s">
        <v>226</v>
      </c>
      <c r="C568" s="424">
        <v>1100</v>
      </c>
      <c r="D568" s="424">
        <v>453</v>
      </c>
      <c r="E568" s="424">
        <f>C568+'2016'!E427+'2017'!E429+'2018'!E431</f>
        <v>3800</v>
      </c>
      <c r="F568" s="424">
        <f>D568+'2016'!F427+'2017'!F429+'2018'!F431</f>
        <v>3567</v>
      </c>
    </row>
    <row r="569" spans="1:6" x14ac:dyDescent="0.25">
      <c r="A569" s="530"/>
      <c r="B569" s="387" t="s">
        <v>22</v>
      </c>
      <c r="C569" s="424"/>
      <c r="D569" s="424"/>
      <c r="E569" s="422">
        <f>E570</f>
        <v>0</v>
      </c>
      <c r="F569" s="422">
        <f>F570</f>
        <v>2100</v>
      </c>
    </row>
    <row r="570" spans="1:6" ht="30" x14ac:dyDescent="0.25">
      <c r="A570" s="530"/>
      <c r="B570" s="384" t="s">
        <v>225</v>
      </c>
      <c r="C570" s="424"/>
      <c r="D570" s="424"/>
      <c r="E570" s="424">
        <f>'2017'!E424</f>
        <v>0</v>
      </c>
      <c r="F570" s="424">
        <f>'2017'!F424</f>
        <v>2100</v>
      </c>
    </row>
    <row r="571" spans="1:6" ht="50.25" customHeight="1" x14ac:dyDescent="0.25">
      <c r="A571" s="530">
        <v>169</v>
      </c>
      <c r="B571" s="384" t="s">
        <v>231</v>
      </c>
      <c r="C571" s="412">
        <f>C572</f>
        <v>900</v>
      </c>
      <c r="D571" s="412">
        <f>D572</f>
        <v>1630</v>
      </c>
      <c r="E571" s="412">
        <f>E572</f>
        <v>2700</v>
      </c>
      <c r="F571" s="412">
        <f>F572</f>
        <v>6321.6</v>
      </c>
    </row>
    <row r="572" spans="1:6" s="155" customFormat="1" x14ac:dyDescent="0.25">
      <c r="A572" s="530"/>
      <c r="B572" s="387" t="s">
        <v>19</v>
      </c>
      <c r="C572" s="422">
        <f>C574+C575</f>
        <v>900</v>
      </c>
      <c r="D572" s="422">
        <f>D574+D575</f>
        <v>1630</v>
      </c>
      <c r="E572" s="422">
        <f>E574+E575</f>
        <v>2700</v>
      </c>
      <c r="F572" s="422">
        <f>F574+F575</f>
        <v>6321.6</v>
      </c>
    </row>
    <row r="573" spans="1:6" x14ac:dyDescent="0.25">
      <c r="A573" s="530"/>
      <c r="B573" s="384" t="s">
        <v>155</v>
      </c>
      <c r="C573" s="427"/>
      <c r="D573" s="427"/>
      <c r="E573" s="427"/>
      <c r="F573" s="427"/>
    </row>
    <row r="574" spans="1:6" ht="30" x14ac:dyDescent="0.25">
      <c r="A574" s="530"/>
      <c r="B574" s="384" t="s">
        <v>225</v>
      </c>
      <c r="C574" s="428">
        <v>500</v>
      </c>
      <c r="D574" s="428">
        <v>1500</v>
      </c>
      <c r="E574" s="427">
        <f>C574+'2016'!E431+'2017'!E432+'2018'!E435</f>
        <v>1100</v>
      </c>
      <c r="F574" s="427">
        <f>D574+'2016'!F431+'2017'!F432+'2018'!F435</f>
        <v>1740</v>
      </c>
    </row>
    <row r="575" spans="1:6" x14ac:dyDescent="0.25">
      <c r="A575" s="530"/>
      <c r="B575" s="384" t="s">
        <v>226</v>
      </c>
      <c r="C575" s="427">
        <v>400</v>
      </c>
      <c r="D575" s="427">
        <v>130</v>
      </c>
      <c r="E575" s="427">
        <f>C575+'2016'!E432+'2017'!E433+'2018'!E436</f>
        <v>1600</v>
      </c>
      <c r="F575" s="427">
        <f>D575+'2016'!F432+'2017'!F433+'2018'!F436</f>
        <v>4581.6000000000004</v>
      </c>
    </row>
    <row r="576" spans="1:6" ht="105" x14ac:dyDescent="0.25">
      <c r="A576" s="530">
        <v>170</v>
      </c>
      <c r="B576" s="384" t="s">
        <v>237</v>
      </c>
      <c r="C576" s="412">
        <f>C577</f>
        <v>3318</v>
      </c>
      <c r="D576" s="412">
        <f>D577</f>
        <v>3318</v>
      </c>
      <c r="E576" s="412">
        <f>E577</f>
        <v>15714.5</v>
      </c>
      <c r="F576" s="412">
        <f>F577</f>
        <v>15714.5</v>
      </c>
    </row>
    <row r="577" spans="1:6" s="155" customFormat="1" x14ac:dyDescent="0.25">
      <c r="A577" s="530"/>
      <c r="B577" s="429" t="s">
        <v>13</v>
      </c>
      <c r="C577" s="422">
        <v>3318</v>
      </c>
      <c r="D577" s="422">
        <v>3318</v>
      </c>
      <c r="E577" s="422">
        <f>C577+'2016'!E434+'2017'!E437+'2018'!E438</f>
        <v>15714.5</v>
      </c>
      <c r="F577" s="422">
        <v>15714.5</v>
      </c>
    </row>
    <row r="578" spans="1:6" ht="60" x14ac:dyDescent="0.25">
      <c r="A578" s="530">
        <v>171</v>
      </c>
      <c r="B578" s="384" t="s">
        <v>494</v>
      </c>
      <c r="C578" s="412">
        <f>C579</f>
        <v>500</v>
      </c>
      <c r="D578" s="412">
        <f>D579</f>
        <v>0</v>
      </c>
      <c r="E578" s="412">
        <f>E579</f>
        <v>2000</v>
      </c>
      <c r="F578" s="412">
        <f>F579</f>
        <v>1500</v>
      </c>
    </row>
    <row r="579" spans="1:6" s="155" customFormat="1" x14ac:dyDescent="0.25">
      <c r="A579" s="530"/>
      <c r="B579" s="387" t="s">
        <v>19</v>
      </c>
      <c r="C579" s="422">
        <v>500</v>
      </c>
      <c r="D579" s="422"/>
      <c r="E579" s="422">
        <f>C579+'2016'!E436+'2017'!E439+'2018'!E440</f>
        <v>2000</v>
      </c>
      <c r="F579" s="422">
        <f>D579+'2016'!F436+'2017'!F439+'2018'!F440</f>
        <v>1500</v>
      </c>
    </row>
    <row r="580" spans="1:6" ht="125.25" customHeight="1" x14ac:dyDescent="0.25">
      <c r="A580" s="530">
        <v>172</v>
      </c>
      <c r="B580" s="384" t="s">
        <v>238</v>
      </c>
      <c r="C580" s="412">
        <f>C581</f>
        <v>200</v>
      </c>
      <c r="D580" s="412">
        <f>D581</f>
        <v>0</v>
      </c>
      <c r="E580" s="412">
        <f>E581</f>
        <v>800</v>
      </c>
      <c r="F580" s="412">
        <f>F581</f>
        <v>400</v>
      </c>
    </row>
    <row r="581" spans="1:6" s="155" customFormat="1" x14ac:dyDescent="0.25">
      <c r="A581" s="530"/>
      <c r="B581" s="387" t="s">
        <v>19</v>
      </c>
      <c r="C581" s="415">
        <v>200</v>
      </c>
      <c r="D581" s="412"/>
      <c r="E581" s="415">
        <f>C581+'2016'!E438+'2017'!E441+'2018'!E442</f>
        <v>800</v>
      </c>
      <c r="F581" s="415">
        <f>D581+'2016'!F438+'2017'!F441+'2018'!F442</f>
        <v>400</v>
      </c>
    </row>
    <row r="582" spans="1:6" ht="90" x14ac:dyDescent="0.25">
      <c r="A582" s="530">
        <v>173</v>
      </c>
      <c r="B582" s="384" t="s">
        <v>495</v>
      </c>
      <c r="C582" s="412">
        <f>C583</f>
        <v>200</v>
      </c>
      <c r="D582" s="412">
        <f>D583</f>
        <v>0</v>
      </c>
      <c r="E582" s="412">
        <f>E583</f>
        <v>800</v>
      </c>
      <c r="F582" s="412">
        <f>F583</f>
        <v>1144.3</v>
      </c>
    </row>
    <row r="583" spans="1:6" s="155" customFormat="1" x14ac:dyDescent="0.25">
      <c r="A583" s="530"/>
      <c r="B583" s="387" t="s">
        <v>19</v>
      </c>
      <c r="C583" s="415">
        <v>200</v>
      </c>
      <c r="D583" s="412">
        <v>0</v>
      </c>
      <c r="E583" s="415">
        <f>C583+'2016'!E440+'2017'!E443+'2018'!E444</f>
        <v>800</v>
      </c>
      <c r="F583" s="415">
        <f>D583+'2016'!F440+'2017'!F443+'2018'!F444</f>
        <v>1144.3</v>
      </c>
    </row>
    <row r="584" spans="1:6" s="155" customFormat="1" ht="60" x14ac:dyDescent="0.25">
      <c r="A584" s="530">
        <v>174</v>
      </c>
      <c r="B584" s="384" t="s">
        <v>630</v>
      </c>
      <c r="C584" s="412">
        <f>C585</f>
        <v>40</v>
      </c>
      <c r="D584" s="412">
        <f>D585</f>
        <v>40</v>
      </c>
      <c r="E584" s="412">
        <f>E585</f>
        <v>40</v>
      </c>
      <c r="F584" s="412">
        <f>F585</f>
        <v>40</v>
      </c>
    </row>
    <row r="585" spans="1:6" s="155" customFormat="1" x14ac:dyDescent="0.25">
      <c r="A585" s="530"/>
      <c r="B585" s="387" t="s">
        <v>13</v>
      </c>
      <c r="C585" s="415">
        <v>40</v>
      </c>
      <c r="D585" s="415">
        <v>40</v>
      </c>
      <c r="E585" s="415">
        <f>C585</f>
        <v>40</v>
      </c>
      <c r="F585" s="415">
        <v>40</v>
      </c>
    </row>
    <row r="586" spans="1:6" s="155" customFormat="1" ht="75" x14ac:dyDescent="0.25">
      <c r="A586" s="530">
        <v>175</v>
      </c>
      <c r="B586" s="384" t="s">
        <v>632</v>
      </c>
      <c r="C586" s="412">
        <f>C587</f>
        <v>300</v>
      </c>
      <c r="D586" s="412">
        <f>D587</f>
        <v>288</v>
      </c>
      <c r="E586" s="412">
        <f>E587</f>
        <v>2100</v>
      </c>
      <c r="F586" s="412">
        <f>F587</f>
        <v>2088</v>
      </c>
    </row>
    <row r="587" spans="1:6" s="155" customFormat="1" x14ac:dyDescent="0.25">
      <c r="A587" s="530"/>
      <c r="B587" s="387" t="s">
        <v>13</v>
      </c>
      <c r="C587" s="415">
        <v>300</v>
      </c>
      <c r="D587" s="415">
        <v>288</v>
      </c>
      <c r="E587" s="415">
        <f>C587+'2016'!E442</f>
        <v>2100</v>
      </c>
      <c r="F587" s="415">
        <v>2088</v>
      </c>
    </row>
    <row r="588" spans="1:6" ht="75" x14ac:dyDescent="0.25">
      <c r="A588" s="530">
        <v>118</v>
      </c>
      <c r="B588" s="384" t="s">
        <v>235</v>
      </c>
      <c r="C588" s="412">
        <f>C589+C590</f>
        <v>1900</v>
      </c>
      <c r="D588" s="412">
        <f>D589+D590</f>
        <v>2872.33</v>
      </c>
      <c r="E588" s="412">
        <f>E589+E590</f>
        <v>6000</v>
      </c>
      <c r="F588" s="412">
        <f>F589+F590</f>
        <v>8272.33</v>
      </c>
    </row>
    <row r="589" spans="1:6" s="155" customFormat="1" x14ac:dyDescent="0.25">
      <c r="A589" s="530"/>
      <c r="B589" s="387" t="s">
        <v>13</v>
      </c>
      <c r="C589" s="422">
        <v>1900</v>
      </c>
      <c r="D589" s="422">
        <v>1947</v>
      </c>
      <c r="E589" s="412">
        <f>'2019'!E591+'2016'!E444+'2017'!E445+'2018'!E446</f>
        <v>6000</v>
      </c>
      <c r="F589" s="412">
        <f>'2019'!F591+'2016'!F444+'2017'!F445+'2018'!F446</f>
        <v>6047</v>
      </c>
    </row>
    <row r="590" spans="1:6" s="155" customFormat="1" x14ac:dyDescent="0.25">
      <c r="A590" s="530"/>
      <c r="B590" s="387" t="s">
        <v>19</v>
      </c>
      <c r="C590" s="422"/>
      <c r="D590" s="422">
        <v>925.33</v>
      </c>
      <c r="E590" s="412"/>
      <c r="F590" s="415">
        <f>D590+'2016'!F445</f>
        <v>2225.33</v>
      </c>
    </row>
    <row r="591" spans="1:6" ht="63" customHeight="1" x14ac:dyDescent="0.25">
      <c r="A591" s="530">
        <v>176</v>
      </c>
      <c r="B591" s="384" t="s">
        <v>236</v>
      </c>
      <c r="C591" s="412">
        <f>C592+C593</f>
        <v>1900</v>
      </c>
      <c r="D591" s="412">
        <f>D592+D593</f>
        <v>3774.8</v>
      </c>
      <c r="E591" s="412">
        <f>E592+E593</f>
        <v>6200</v>
      </c>
      <c r="F591" s="412">
        <f>F592+F593</f>
        <v>8074.8</v>
      </c>
    </row>
    <row r="592" spans="1:6" s="155" customFormat="1" x14ac:dyDescent="0.25">
      <c r="A592" s="530"/>
      <c r="B592" s="387" t="s">
        <v>13</v>
      </c>
      <c r="C592" s="415">
        <v>1900</v>
      </c>
      <c r="D592" s="415">
        <v>1865</v>
      </c>
      <c r="E592" s="415">
        <f>C592+'2016'!E447+'2017'!E447+'2018'!E448</f>
        <v>6200</v>
      </c>
      <c r="F592" s="415">
        <v>6165</v>
      </c>
    </row>
    <row r="593" spans="1:6" s="155" customFormat="1" x14ac:dyDescent="0.25">
      <c r="A593" s="530"/>
      <c r="B593" s="387" t="s">
        <v>19</v>
      </c>
      <c r="C593" s="415"/>
      <c r="D593" s="415">
        <v>1909.8</v>
      </c>
      <c r="E593" s="415"/>
      <c r="F593" s="415">
        <f>D593</f>
        <v>1909.8</v>
      </c>
    </row>
    <row r="594" spans="1:6" s="155" customFormat="1" ht="60" x14ac:dyDescent="0.25">
      <c r="A594" s="530">
        <v>177</v>
      </c>
      <c r="B594" s="384" t="s">
        <v>637</v>
      </c>
      <c r="C594" s="412">
        <f>C595</f>
        <v>5000</v>
      </c>
      <c r="D594" s="412">
        <f>D595</f>
        <v>5000</v>
      </c>
      <c r="E594" s="412">
        <f>E595</f>
        <v>5000</v>
      </c>
      <c r="F594" s="412">
        <f>F595</f>
        <v>5000</v>
      </c>
    </row>
    <row r="595" spans="1:6" s="155" customFormat="1" x14ac:dyDescent="0.25">
      <c r="A595" s="530"/>
      <c r="B595" s="387" t="s">
        <v>13</v>
      </c>
      <c r="C595" s="415">
        <v>5000</v>
      </c>
      <c r="D595" s="415">
        <v>5000</v>
      </c>
      <c r="E595" s="415">
        <f>C595</f>
        <v>5000</v>
      </c>
      <c r="F595" s="415">
        <v>5000</v>
      </c>
    </row>
    <row r="596" spans="1:6" s="155" customFormat="1" x14ac:dyDescent="0.25">
      <c r="A596" s="530">
        <v>178</v>
      </c>
      <c r="B596" s="384" t="s">
        <v>638</v>
      </c>
      <c r="C596" s="412">
        <f>C597</f>
        <v>1000</v>
      </c>
      <c r="D596" s="412">
        <f>D597</f>
        <v>1000</v>
      </c>
      <c r="E596" s="412">
        <f>E597</f>
        <v>1000</v>
      </c>
      <c r="F596" s="412">
        <f>F597</f>
        <v>1000</v>
      </c>
    </row>
    <row r="597" spans="1:6" s="155" customFormat="1" x14ac:dyDescent="0.25">
      <c r="A597" s="530"/>
      <c r="B597" s="387" t="s">
        <v>13</v>
      </c>
      <c r="C597" s="415">
        <v>1000</v>
      </c>
      <c r="D597" s="415">
        <v>1000</v>
      </c>
      <c r="E597" s="415">
        <f>C597</f>
        <v>1000</v>
      </c>
      <c r="F597" s="415">
        <v>1000</v>
      </c>
    </row>
    <row r="598" spans="1:6" ht="45" x14ac:dyDescent="0.25">
      <c r="A598" s="530">
        <v>179</v>
      </c>
      <c r="B598" s="384" t="s">
        <v>496</v>
      </c>
      <c r="C598" s="412">
        <f>C599</f>
        <v>4000</v>
      </c>
      <c r="D598" s="412">
        <f>D599</f>
        <v>4000</v>
      </c>
      <c r="E598" s="412">
        <f>E599</f>
        <v>7406</v>
      </c>
      <c r="F598" s="412">
        <f>F599</f>
        <v>7406</v>
      </c>
    </row>
    <row r="599" spans="1:6" s="155" customFormat="1" x14ac:dyDescent="0.25">
      <c r="A599" s="530"/>
      <c r="B599" s="387" t="s">
        <v>13</v>
      </c>
      <c r="C599" s="422">
        <v>4000</v>
      </c>
      <c r="D599" s="422">
        <v>4000</v>
      </c>
      <c r="E599" s="415">
        <f>C599+'2018'!E450</f>
        <v>7406</v>
      </c>
      <c r="F599" s="415">
        <v>7406</v>
      </c>
    </row>
    <row r="600" spans="1:6" s="155" customFormat="1" ht="30" x14ac:dyDescent="0.25">
      <c r="A600" s="530">
        <v>180</v>
      </c>
      <c r="B600" s="384" t="s">
        <v>639</v>
      </c>
      <c r="C600" s="412">
        <f>C601</f>
        <v>7500</v>
      </c>
      <c r="D600" s="412">
        <f>D601</f>
        <v>7500</v>
      </c>
      <c r="E600" s="412">
        <f>E601</f>
        <v>7500</v>
      </c>
      <c r="F600" s="412">
        <f>F601</f>
        <v>7500</v>
      </c>
    </row>
    <row r="601" spans="1:6" s="155" customFormat="1" x14ac:dyDescent="0.25">
      <c r="A601" s="530"/>
      <c r="B601" s="387" t="s">
        <v>13</v>
      </c>
      <c r="C601" s="422">
        <v>7500</v>
      </c>
      <c r="D601" s="422">
        <v>7500</v>
      </c>
      <c r="E601" s="422">
        <f>C601</f>
        <v>7500</v>
      </c>
      <c r="F601" s="422">
        <f>D601</f>
        <v>7500</v>
      </c>
    </row>
    <row r="602" spans="1:6" s="155" customFormat="1" ht="45" x14ac:dyDescent="0.25">
      <c r="A602" s="530">
        <v>181</v>
      </c>
      <c r="B602" s="384" t="s">
        <v>640</v>
      </c>
      <c r="C602" s="412">
        <f>C603</f>
        <v>12500</v>
      </c>
      <c r="D602" s="412">
        <f>D603</f>
        <v>12500</v>
      </c>
      <c r="E602" s="412">
        <f>E603</f>
        <v>12500</v>
      </c>
      <c r="F602" s="412">
        <f>F603</f>
        <v>12500</v>
      </c>
    </row>
    <row r="603" spans="1:6" s="155" customFormat="1" x14ac:dyDescent="0.25">
      <c r="A603" s="530"/>
      <c r="B603" s="387" t="s">
        <v>13</v>
      </c>
      <c r="C603" s="422">
        <v>12500</v>
      </c>
      <c r="D603" s="422">
        <v>12500</v>
      </c>
      <c r="E603" s="422">
        <f>C603</f>
        <v>12500</v>
      </c>
      <c r="F603" s="422">
        <f>D603</f>
        <v>12500</v>
      </c>
    </row>
    <row r="604" spans="1:6" s="155" customFormat="1" ht="45" x14ac:dyDescent="0.25">
      <c r="A604" s="530">
        <v>182</v>
      </c>
      <c r="B604" s="384" t="s">
        <v>641</v>
      </c>
      <c r="C604" s="422"/>
      <c r="D604" s="422"/>
      <c r="E604" s="412">
        <f>E605</f>
        <v>7568</v>
      </c>
      <c r="F604" s="412">
        <f>F605</f>
        <v>7568</v>
      </c>
    </row>
    <row r="605" spans="1:6" s="155" customFormat="1" x14ac:dyDescent="0.25">
      <c r="A605" s="530"/>
      <c r="B605" s="387" t="s">
        <v>13</v>
      </c>
      <c r="C605" s="422"/>
      <c r="D605" s="422"/>
      <c r="E605" s="415">
        <f>'2016'!E449+'2017'!E449</f>
        <v>7568</v>
      </c>
      <c r="F605" s="415">
        <v>7568</v>
      </c>
    </row>
    <row r="606" spans="1:6" s="155" customFormat="1" ht="60" x14ac:dyDescent="0.25">
      <c r="A606" s="530">
        <v>183</v>
      </c>
      <c r="B606" s="384" t="s">
        <v>642</v>
      </c>
      <c r="C606" s="412">
        <f>C607</f>
        <v>5000</v>
      </c>
      <c r="D606" s="412">
        <f>D607</f>
        <v>5000</v>
      </c>
      <c r="E606" s="412">
        <f>E607</f>
        <v>5000</v>
      </c>
      <c r="F606" s="412">
        <f>F607</f>
        <v>5000</v>
      </c>
    </row>
    <row r="607" spans="1:6" s="155" customFormat="1" x14ac:dyDescent="0.25">
      <c r="A607" s="530"/>
      <c r="B607" s="387" t="s">
        <v>13</v>
      </c>
      <c r="C607" s="422">
        <v>5000</v>
      </c>
      <c r="D607" s="422">
        <v>5000</v>
      </c>
      <c r="E607" s="415">
        <f>D607</f>
        <v>5000</v>
      </c>
      <c r="F607" s="415">
        <v>5000</v>
      </c>
    </row>
    <row r="608" spans="1:6" s="155" customFormat="1" ht="75" x14ac:dyDescent="0.25">
      <c r="A608" s="530">
        <v>184</v>
      </c>
      <c r="B608" s="384" t="s">
        <v>643</v>
      </c>
      <c r="C608" s="412">
        <f>C609</f>
        <v>5000</v>
      </c>
      <c r="D608" s="412">
        <f>D609</f>
        <v>5000</v>
      </c>
      <c r="E608" s="412">
        <f>E609</f>
        <v>5000</v>
      </c>
      <c r="F608" s="412">
        <f>F609</f>
        <v>5000</v>
      </c>
    </row>
    <row r="609" spans="1:6" s="155" customFormat="1" x14ac:dyDescent="0.25">
      <c r="A609" s="530"/>
      <c r="B609" s="387" t="s">
        <v>13</v>
      </c>
      <c r="C609" s="422">
        <v>5000</v>
      </c>
      <c r="D609" s="422">
        <v>5000</v>
      </c>
      <c r="E609" s="415">
        <f>D609</f>
        <v>5000</v>
      </c>
      <c r="F609" s="415">
        <v>5000</v>
      </c>
    </row>
    <row r="610" spans="1:6" ht="90" x14ac:dyDescent="0.25">
      <c r="A610" s="530">
        <v>185</v>
      </c>
      <c r="B610" s="384" t="s">
        <v>240</v>
      </c>
      <c r="C610" s="412">
        <f>C611</f>
        <v>300</v>
      </c>
      <c r="D610" s="412">
        <f>D611</f>
        <v>300</v>
      </c>
      <c r="E610" s="412">
        <f>E611</f>
        <v>1200</v>
      </c>
      <c r="F610" s="412">
        <f>F611</f>
        <v>2500</v>
      </c>
    </row>
    <row r="611" spans="1:6" s="155" customFormat="1" x14ac:dyDescent="0.25">
      <c r="A611" s="530"/>
      <c r="B611" s="387" t="s">
        <v>19</v>
      </c>
      <c r="C611" s="422">
        <v>300</v>
      </c>
      <c r="D611" s="422">
        <v>300</v>
      </c>
      <c r="E611" s="422">
        <f>C611+'2016'!E451+'2017'!E451+'2018'!E452</f>
        <v>1200</v>
      </c>
      <c r="F611" s="422">
        <f>D611+'2016'!F451+'2017'!F451+'2018'!F452</f>
        <v>2500</v>
      </c>
    </row>
    <row r="612" spans="1:6" ht="120" x14ac:dyDescent="0.25">
      <c r="A612" s="530">
        <v>186</v>
      </c>
      <c r="B612" s="384" t="s">
        <v>241</v>
      </c>
      <c r="C612" s="412">
        <f>C613</f>
        <v>200</v>
      </c>
      <c r="D612" s="412">
        <f>D613</f>
        <v>200</v>
      </c>
      <c r="E612" s="412">
        <f>E613</f>
        <v>1100</v>
      </c>
      <c r="F612" s="412">
        <f>F613</f>
        <v>1100</v>
      </c>
    </row>
    <row r="613" spans="1:6" s="155" customFormat="1" x14ac:dyDescent="0.25">
      <c r="A613" s="530"/>
      <c r="B613" s="387" t="s">
        <v>19</v>
      </c>
      <c r="C613" s="422">
        <v>200</v>
      </c>
      <c r="D613" s="422">
        <v>200</v>
      </c>
      <c r="E613" s="422">
        <f>C613+'2016'!E453+'2017'!E453+'2018'!E454</f>
        <v>1100</v>
      </c>
      <c r="F613" s="422">
        <f>D613+'2016'!F453+'2017'!F453+'2018'!F454</f>
        <v>1100</v>
      </c>
    </row>
    <row r="614" spans="1:6" ht="75" x14ac:dyDescent="0.25">
      <c r="A614" s="530">
        <v>187</v>
      </c>
      <c r="B614" s="384" t="s">
        <v>242</v>
      </c>
      <c r="C614" s="412">
        <f>C615</f>
        <v>200</v>
      </c>
      <c r="D614" s="412">
        <f>D615</f>
        <v>200</v>
      </c>
      <c r="E614" s="412">
        <f>E615</f>
        <v>800</v>
      </c>
      <c r="F614" s="412">
        <f>F615</f>
        <v>800</v>
      </c>
    </row>
    <row r="615" spans="1:6" s="155" customFormat="1" x14ac:dyDescent="0.25">
      <c r="A615" s="530"/>
      <c r="B615" s="387" t="s">
        <v>19</v>
      </c>
      <c r="C615" s="422">
        <v>200</v>
      </c>
      <c r="D615" s="422">
        <v>200</v>
      </c>
      <c r="E615" s="422">
        <f>C615+'2016'!E455+'2017'!E455+'2018'!E456</f>
        <v>800</v>
      </c>
      <c r="F615" s="422">
        <f>D615+'2016'!F455+'2017'!F455+'2018'!F456</f>
        <v>800</v>
      </c>
    </row>
    <row r="616" spans="1:6" s="155" customFormat="1" ht="45" x14ac:dyDescent="0.25">
      <c r="A616" s="530">
        <v>188</v>
      </c>
      <c r="B616" s="384" t="s">
        <v>647</v>
      </c>
      <c r="C616" s="412">
        <f>C617</f>
        <v>500</v>
      </c>
      <c r="D616" s="412">
        <f>D617</f>
        <v>500</v>
      </c>
      <c r="E616" s="412">
        <f>E617</f>
        <v>1000</v>
      </c>
      <c r="F616" s="412">
        <f>F617</f>
        <v>2000</v>
      </c>
    </row>
    <row r="617" spans="1:6" s="155" customFormat="1" x14ac:dyDescent="0.25">
      <c r="A617" s="530"/>
      <c r="B617" s="387" t="s">
        <v>19</v>
      </c>
      <c r="C617" s="422">
        <v>500</v>
      </c>
      <c r="D617" s="422">
        <v>500</v>
      </c>
      <c r="E617" s="422">
        <f>C617+'2016'!E457+'2017'!E457</f>
        <v>1000</v>
      </c>
      <c r="F617" s="422">
        <f>D617+'2016'!F457+'2017'!F457</f>
        <v>2000</v>
      </c>
    </row>
    <row r="618" spans="1:6" s="155" customFormat="1" ht="45" x14ac:dyDescent="0.25">
      <c r="A618" s="530">
        <v>189</v>
      </c>
      <c r="B618" s="384" t="s">
        <v>648</v>
      </c>
      <c r="C618" s="412">
        <f>C619</f>
        <v>300</v>
      </c>
      <c r="D618" s="412">
        <f>D619</f>
        <v>300</v>
      </c>
      <c r="E618" s="412">
        <f>E619</f>
        <v>600</v>
      </c>
      <c r="F618" s="412">
        <f>F619</f>
        <v>985</v>
      </c>
    </row>
    <row r="619" spans="1:6" s="155" customFormat="1" x14ac:dyDescent="0.25">
      <c r="A619" s="530"/>
      <c r="B619" s="387" t="s">
        <v>19</v>
      </c>
      <c r="C619" s="422">
        <v>300</v>
      </c>
      <c r="D619" s="422">
        <v>300</v>
      </c>
      <c r="E619" s="422">
        <f>C619+'2016'!E459+'2017'!E459</f>
        <v>600</v>
      </c>
      <c r="F619" s="422">
        <f>D619+'2016'!F459+'2017'!F459</f>
        <v>985</v>
      </c>
    </row>
    <row r="620" spans="1:6" ht="60" x14ac:dyDescent="0.25">
      <c r="A620" s="530">
        <v>190</v>
      </c>
      <c r="B620" s="384" t="s">
        <v>245</v>
      </c>
      <c r="C620" s="412">
        <f>C621</f>
        <v>2500</v>
      </c>
      <c r="D620" s="412">
        <f>D621</f>
        <v>2500</v>
      </c>
      <c r="E620" s="412">
        <f>E621</f>
        <v>8000</v>
      </c>
      <c r="F620" s="412">
        <f>F621</f>
        <v>57257</v>
      </c>
    </row>
    <row r="621" spans="1:6" s="155" customFormat="1" x14ac:dyDescent="0.25">
      <c r="A621" s="530"/>
      <c r="B621" s="387" t="s">
        <v>19</v>
      </c>
      <c r="C621" s="415">
        <v>2500</v>
      </c>
      <c r="D621" s="415">
        <v>2500</v>
      </c>
      <c r="E621" s="415">
        <f>C621+'2016'!E461+'2017'!E461+'2018'!E458</f>
        <v>8000</v>
      </c>
      <c r="F621" s="415">
        <f>D621+'2016'!F461+'2017'!F461+'2018'!F458</f>
        <v>57257</v>
      </c>
    </row>
    <row r="622" spans="1:6" ht="60" x14ac:dyDescent="0.25">
      <c r="A622" s="530">
        <v>191</v>
      </c>
      <c r="B622" s="384" t="s">
        <v>246</v>
      </c>
      <c r="C622" s="412">
        <f>C623</f>
        <v>1600</v>
      </c>
      <c r="D622" s="412">
        <f>D623</f>
        <v>1600</v>
      </c>
      <c r="E622" s="412">
        <f>E623</f>
        <v>5200</v>
      </c>
      <c r="F622" s="412">
        <f>F623</f>
        <v>84100</v>
      </c>
    </row>
    <row r="623" spans="1:6" s="155" customFormat="1" x14ac:dyDescent="0.25">
      <c r="A623" s="530"/>
      <c r="B623" s="387" t="s">
        <v>19</v>
      </c>
      <c r="C623" s="422">
        <v>1600</v>
      </c>
      <c r="D623" s="422">
        <v>1600</v>
      </c>
      <c r="E623" s="415">
        <f>C623+'2016'!E463+'2017'!E463+'2018'!E460</f>
        <v>5200</v>
      </c>
      <c r="F623" s="415">
        <f>D623+'2016'!F463+'2017'!F463+'2018'!F460</f>
        <v>84100</v>
      </c>
    </row>
    <row r="624" spans="1:6" ht="61.5" customHeight="1" x14ac:dyDescent="0.25">
      <c r="A624" s="530">
        <v>192</v>
      </c>
      <c r="B624" s="384" t="s">
        <v>247</v>
      </c>
      <c r="C624" s="412">
        <f>C625</f>
        <v>500</v>
      </c>
      <c r="D624" s="412">
        <f>D625</f>
        <v>500</v>
      </c>
      <c r="E624" s="412">
        <f>E625</f>
        <v>2500</v>
      </c>
      <c r="F624" s="412">
        <f>F625</f>
        <v>6000</v>
      </c>
    </row>
    <row r="625" spans="1:6" s="155" customFormat="1" x14ac:dyDescent="0.25">
      <c r="A625" s="530"/>
      <c r="B625" s="387" t="s">
        <v>19</v>
      </c>
      <c r="C625" s="430">
        <v>500</v>
      </c>
      <c r="D625" s="415">
        <v>500</v>
      </c>
      <c r="E625" s="415">
        <f>C625+'2016'!E465+'2017'!E465+'2018'!E462</f>
        <v>2500</v>
      </c>
      <c r="F625" s="415">
        <f>D625+'2016'!F465+'2017'!F465+'2018'!F462</f>
        <v>6000</v>
      </c>
    </row>
    <row r="626" spans="1:6" ht="105" x14ac:dyDescent="0.25">
      <c r="A626" s="530">
        <v>193</v>
      </c>
      <c r="B626" s="384" t="s">
        <v>296</v>
      </c>
      <c r="C626" s="412">
        <f>C627</f>
        <v>500</v>
      </c>
      <c r="D626" s="412">
        <f>D627</f>
        <v>500</v>
      </c>
      <c r="E626" s="412">
        <f>E627</f>
        <v>2000</v>
      </c>
      <c r="F626" s="412">
        <f>F627</f>
        <v>2000</v>
      </c>
    </row>
    <row r="627" spans="1:6" s="155" customFormat="1" x14ac:dyDescent="0.25">
      <c r="A627" s="530"/>
      <c r="B627" s="387" t="s">
        <v>19</v>
      </c>
      <c r="C627" s="422">
        <v>500</v>
      </c>
      <c r="D627" s="422">
        <v>500</v>
      </c>
      <c r="E627" s="422">
        <f>C627+'2016'!E467+'2017'!E467+'2018'!E464</f>
        <v>2000</v>
      </c>
      <c r="F627" s="422">
        <f>D627+'2016'!F467+'2017'!F467+'2018'!F464</f>
        <v>2000</v>
      </c>
    </row>
    <row r="628" spans="1:6" ht="60" x14ac:dyDescent="0.25">
      <c r="A628" s="530">
        <v>194</v>
      </c>
      <c r="B628" s="384" t="s">
        <v>249</v>
      </c>
      <c r="C628" s="412">
        <f>C629</f>
        <v>500</v>
      </c>
      <c r="D628" s="412">
        <f>D629</f>
        <v>500</v>
      </c>
      <c r="E628" s="412">
        <f>E629</f>
        <v>2000</v>
      </c>
      <c r="F628" s="412">
        <f>F629</f>
        <v>2000</v>
      </c>
    </row>
    <row r="629" spans="1:6" s="155" customFormat="1" x14ac:dyDescent="0.25">
      <c r="A629" s="530"/>
      <c r="B629" s="387" t="s">
        <v>19</v>
      </c>
      <c r="C629" s="422">
        <v>500</v>
      </c>
      <c r="D629" s="422">
        <v>500</v>
      </c>
      <c r="E629" s="422">
        <f>C629+'2016'!E469+'2017'!E469+'2018'!E466</f>
        <v>2000</v>
      </c>
      <c r="F629" s="422">
        <f>D629+'2016'!F469+'2017'!F469+'2018'!F466</f>
        <v>2000</v>
      </c>
    </row>
    <row r="630" spans="1:6" ht="122.25" customHeight="1" x14ac:dyDescent="0.25">
      <c r="A630" s="530">
        <v>195</v>
      </c>
      <c r="B630" s="384" t="s">
        <v>250</v>
      </c>
      <c r="C630" s="412">
        <f>C631</f>
        <v>200</v>
      </c>
      <c r="D630" s="412">
        <f>D631</f>
        <v>200</v>
      </c>
      <c r="E630" s="412">
        <f>E631</f>
        <v>800</v>
      </c>
      <c r="F630" s="412">
        <f>F631</f>
        <v>400</v>
      </c>
    </row>
    <row r="631" spans="1:6" s="155" customFormat="1" x14ac:dyDescent="0.25">
      <c r="A631" s="530"/>
      <c r="B631" s="387" t="s">
        <v>19</v>
      </c>
      <c r="C631" s="422">
        <v>200</v>
      </c>
      <c r="D631" s="422">
        <v>200</v>
      </c>
      <c r="E631" s="422">
        <f>C631+'2016'!E471+'2017'!E471+'2018'!E468</f>
        <v>800</v>
      </c>
      <c r="F631" s="422">
        <f>D631+'2016'!F471+'2017'!F471+'2018'!F468</f>
        <v>400</v>
      </c>
    </row>
    <row r="632" spans="1:6" s="155" customFormat="1" ht="90" x14ac:dyDescent="0.25">
      <c r="A632" s="530">
        <v>196</v>
      </c>
      <c r="B632" s="384" t="s">
        <v>497</v>
      </c>
      <c r="C632" s="412"/>
      <c r="D632" s="412"/>
      <c r="E632" s="412">
        <f>E633</f>
        <v>22500</v>
      </c>
      <c r="F632" s="412">
        <f>F633</f>
        <v>22500</v>
      </c>
    </row>
    <row r="633" spans="1:6" s="155" customFormat="1" x14ac:dyDescent="0.25">
      <c r="A633" s="530"/>
      <c r="B633" s="387" t="s">
        <v>19</v>
      </c>
      <c r="C633" s="415"/>
      <c r="D633" s="415"/>
      <c r="E633" s="422">
        <f>'2018'!E470</f>
        <v>22500</v>
      </c>
      <c r="F633" s="422">
        <f>'2018'!F470</f>
        <v>22500</v>
      </c>
    </row>
    <row r="634" spans="1:6" s="155" customFormat="1" ht="36.75" customHeight="1" x14ac:dyDescent="0.25">
      <c r="A634" s="530">
        <v>197</v>
      </c>
      <c r="B634" s="384" t="s">
        <v>414</v>
      </c>
      <c r="C634" s="415"/>
      <c r="D634" s="415"/>
      <c r="E634" s="412">
        <f>E635+E636</f>
        <v>45000</v>
      </c>
      <c r="F634" s="412">
        <f>F635</f>
        <v>0</v>
      </c>
    </row>
    <row r="635" spans="1:6" s="155" customFormat="1" x14ac:dyDescent="0.25">
      <c r="A635" s="530"/>
      <c r="B635" s="387" t="s">
        <v>19</v>
      </c>
      <c r="C635" s="415"/>
      <c r="D635" s="415"/>
      <c r="E635" s="422">
        <f>'2016'!E473</f>
        <v>22500</v>
      </c>
      <c r="F635" s="422"/>
    </row>
    <row r="636" spans="1:6" s="155" customFormat="1" x14ac:dyDescent="0.25">
      <c r="A636" s="530"/>
      <c r="B636" s="387" t="s">
        <v>22</v>
      </c>
      <c r="C636" s="415"/>
      <c r="D636" s="415"/>
      <c r="E636" s="422">
        <f>'2016'!E474</f>
        <v>22500</v>
      </c>
      <c r="F636" s="422">
        <f>'2016'!F474</f>
        <v>0</v>
      </c>
    </row>
    <row r="637" spans="1:6" ht="60" x14ac:dyDescent="0.25">
      <c r="A637" s="530">
        <v>198</v>
      </c>
      <c r="B637" s="384" t="s">
        <v>297</v>
      </c>
      <c r="C637" s="412"/>
      <c r="D637" s="412"/>
      <c r="E637" s="412">
        <f>E638+E639</f>
        <v>245000</v>
      </c>
      <c r="F637" s="412">
        <f>F638+F639</f>
        <v>231654.27</v>
      </c>
    </row>
    <row r="638" spans="1:6" s="155" customFormat="1" x14ac:dyDescent="0.25">
      <c r="A638" s="530"/>
      <c r="B638" s="387" t="s">
        <v>19</v>
      </c>
      <c r="C638" s="422"/>
      <c r="D638" s="422"/>
      <c r="E638" s="422">
        <f>'2017'!E473+'2018'!E472</f>
        <v>22500</v>
      </c>
      <c r="F638" s="415">
        <f>'2017'!F473+'2018'!F472</f>
        <v>9154.27</v>
      </c>
    </row>
    <row r="639" spans="1:6" s="155" customFormat="1" x14ac:dyDescent="0.25">
      <c r="A639" s="530"/>
      <c r="B639" s="387" t="s">
        <v>22</v>
      </c>
      <c r="C639" s="422"/>
      <c r="D639" s="422"/>
      <c r="E639" s="422">
        <f>'2017'!E474+'2018'!E473</f>
        <v>222500</v>
      </c>
      <c r="F639" s="422">
        <v>222500</v>
      </c>
    </row>
    <row r="640" spans="1:6" ht="105" x14ac:dyDescent="0.25">
      <c r="A640" s="530">
        <v>199</v>
      </c>
      <c r="B640" s="384" t="s">
        <v>251</v>
      </c>
      <c r="C640" s="412">
        <f>C641</f>
        <v>300</v>
      </c>
      <c r="D640" s="412">
        <f>D641</f>
        <v>300</v>
      </c>
      <c r="E640" s="412">
        <f>E641</f>
        <v>1200</v>
      </c>
      <c r="F640" s="412">
        <f>F641</f>
        <v>1200</v>
      </c>
    </row>
    <row r="641" spans="1:6" s="155" customFormat="1" x14ac:dyDescent="0.25">
      <c r="A641" s="530"/>
      <c r="B641" s="387" t="s">
        <v>19</v>
      </c>
      <c r="C641" s="422">
        <v>300</v>
      </c>
      <c r="D641" s="415">
        <v>300</v>
      </c>
      <c r="E641" s="422">
        <f>C641+'2016'!E476+'2017'!E476+'2018'!E475</f>
        <v>1200</v>
      </c>
      <c r="F641" s="415">
        <f>D641+'2016'!F476+'2017'!F476+'2018'!F475</f>
        <v>1200</v>
      </c>
    </row>
    <row r="642" spans="1:6" ht="63.75" customHeight="1" x14ac:dyDescent="0.25">
      <c r="A642" s="530">
        <v>200</v>
      </c>
      <c r="B642" s="384" t="s">
        <v>252</v>
      </c>
      <c r="C642" s="412">
        <f>C643</f>
        <v>400</v>
      </c>
      <c r="D642" s="412">
        <f>D643</f>
        <v>400</v>
      </c>
      <c r="E642" s="412">
        <f>E643</f>
        <v>1600</v>
      </c>
      <c r="F642" s="412">
        <f>F643</f>
        <v>1600</v>
      </c>
    </row>
    <row r="643" spans="1:6" s="155" customFormat="1" x14ac:dyDescent="0.25">
      <c r="A643" s="530"/>
      <c r="B643" s="387" t="s">
        <v>19</v>
      </c>
      <c r="C643" s="422">
        <v>400</v>
      </c>
      <c r="D643" s="415">
        <v>400</v>
      </c>
      <c r="E643" s="422">
        <f>C643+'2016'!E478+'2017'!E478+'2018'!E477</f>
        <v>1600</v>
      </c>
      <c r="F643" s="422">
        <f>D643+'2016'!F478+'2017'!F478+'2018'!F477</f>
        <v>1600</v>
      </c>
    </row>
    <row r="644" spans="1:6" s="155" customFormat="1" ht="45" x14ac:dyDescent="0.25">
      <c r="A644" s="530">
        <v>201</v>
      </c>
      <c r="B644" s="384" t="s">
        <v>656</v>
      </c>
      <c r="C644" s="412">
        <f>C645</f>
        <v>150</v>
      </c>
      <c r="D644" s="412">
        <f>D645</f>
        <v>150</v>
      </c>
      <c r="E644" s="412">
        <f>E645</f>
        <v>150</v>
      </c>
      <c r="F644" s="412">
        <f>F645</f>
        <v>150</v>
      </c>
    </row>
    <row r="645" spans="1:6" s="155" customFormat="1" x14ac:dyDescent="0.25">
      <c r="A645" s="530"/>
      <c r="B645" s="387" t="s">
        <v>22</v>
      </c>
      <c r="C645" s="422">
        <v>150</v>
      </c>
      <c r="D645" s="422">
        <v>150</v>
      </c>
      <c r="E645" s="422">
        <f>C645</f>
        <v>150</v>
      </c>
      <c r="F645" s="422">
        <f>D645</f>
        <v>150</v>
      </c>
    </row>
    <row r="646" spans="1:6" ht="77.25" customHeight="1" x14ac:dyDescent="0.25">
      <c r="A646" s="530">
        <v>202</v>
      </c>
      <c r="B646" s="384" t="s">
        <v>253</v>
      </c>
      <c r="C646" s="412">
        <f>C647</f>
        <v>300</v>
      </c>
      <c r="D646" s="412">
        <f>D647</f>
        <v>820.3</v>
      </c>
      <c r="E646" s="412">
        <f>E647</f>
        <v>1200</v>
      </c>
      <c r="F646" s="412">
        <f>F647</f>
        <v>2264</v>
      </c>
    </row>
    <row r="647" spans="1:6" s="155" customFormat="1" x14ac:dyDescent="0.25">
      <c r="A647" s="530"/>
      <c r="B647" s="387" t="s">
        <v>19</v>
      </c>
      <c r="C647" s="422">
        <v>300</v>
      </c>
      <c r="D647" s="415">
        <v>820.3</v>
      </c>
      <c r="E647" s="422">
        <f>C647+'2016'!E480+'2017'!E480+'2018'!E479</f>
        <v>1200</v>
      </c>
      <c r="F647" s="422">
        <f>D647+'2016'!F480+'2017'!F480+'2018'!F479</f>
        <v>2264</v>
      </c>
    </row>
    <row r="648" spans="1:6" s="155" customFormat="1" ht="60" x14ac:dyDescent="0.25">
      <c r="A648" s="530">
        <v>203</v>
      </c>
      <c r="B648" s="384" t="s">
        <v>657</v>
      </c>
      <c r="C648" s="412">
        <f>C649</f>
        <v>300</v>
      </c>
      <c r="D648" s="412">
        <f>D649</f>
        <v>300</v>
      </c>
      <c r="E648" s="412">
        <f>E649</f>
        <v>300</v>
      </c>
      <c r="F648" s="412">
        <f>F649</f>
        <v>300</v>
      </c>
    </row>
    <row r="649" spans="1:6" s="155" customFormat="1" x14ac:dyDescent="0.25">
      <c r="A649" s="530"/>
      <c r="B649" s="387" t="s">
        <v>22</v>
      </c>
      <c r="C649" s="422">
        <v>300</v>
      </c>
      <c r="D649" s="422">
        <v>300</v>
      </c>
      <c r="E649" s="422">
        <f>C649</f>
        <v>300</v>
      </c>
      <c r="F649" s="422">
        <f>D649</f>
        <v>300</v>
      </c>
    </row>
    <row r="650" spans="1:6" ht="51.75" customHeight="1" x14ac:dyDescent="0.25">
      <c r="A650" s="530">
        <v>204</v>
      </c>
      <c r="B650" s="384" t="s">
        <v>658</v>
      </c>
      <c r="C650" s="412">
        <f>C651+C652</f>
        <v>31700</v>
      </c>
      <c r="D650" s="412">
        <f>D651+D652</f>
        <v>65605.600000000006</v>
      </c>
      <c r="E650" s="412">
        <f>E651+E652</f>
        <v>93300</v>
      </c>
      <c r="F650" s="412">
        <f>F651+F652</f>
        <v>185191.02000000002</v>
      </c>
    </row>
    <row r="651" spans="1:6" s="155" customFormat="1" x14ac:dyDescent="0.25">
      <c r="A651" s="530"/>
      <c r="B651" s="387" t="s">
        <v>22</v>
      </c>
      <c r="C651" s="422">
        <v>20500</v>
      </c>
      <c r="D651" s="422">
        <v>20500</v>
      </c>
      <c r="E651" s="422">
        <v>50500</v>
      </c>
      <c r="F651" s="422">
        <v>50500</v>
      </c>
    </row>
    <row r="652" spans="1:6" s="155" customFormat="1" x14ac:dyDescent="0.25">
      <c r="A652" s="530"/>
      <c r="B652" s="387" t="s">
        <v>19</v>
      </c>
      <c r="C652" s="422">
        <v>11200</v>
      </c>
      <c r="D652" s="422">
        <v>45105.599999999999</v>
      </c>
      <c r="E652" s="422">
        <v>42800</v>
      </c>
      <c r="F652" s="422">
        <f>D652+'2016'!F483+'2017'!F483+'2018'!F486</f>
        <v>134691.02000000002</v>
      </c>
    </row>
    <row r="653" spans="1:6" ht="60" x14ac:dyDescent="0.25">
      <c r="A653" s="530">
        <v>205</v>
      </c>
      <c r="B653" s="384" t="s">
        <v>256</v>
      </c>
      <c r="C653" s="412">
        <f>C654+C657</f>
        <v>4200</v>
      </c>
      <c r="D653" s="412">
        <f>D654+D657</f>
        <v>4200</v>
      </c>
      <c r="E653" s="412">
        <f>E654+E657</f>
        <v>17730</v>
      </c>
      <c r="F653" s="412">
        <f>F654+F657</f>
        <v>17730</v>
      </c>
    </row>
    <row r="654" spans="1:6" s="155" customFormat="1" x14ac:dyDescent="0.25">
      <c r="A654" s="530"/>
      <c r="B654" s="387" t="s">
        <v>19</v>
      </c>
      <c r="C654" s="415">
        <v>3500</v>
      </c>
      <c r="D654" s="415">
        <v>3500</v>
      </c>
      <c r="E654" s="415">
        <f>C654+'2016'!E491+'2017'!E489+'2018'!E488</f>
        <v>12500</v>
      </c>
      <c r="F654" s="415">
        <f>D654+'2016'!F491+'2017'!F489+'2018'!F488</f>
        <v>12500</v>
      </c>
    </row>
    <row r="655" spans="1:6" s="155" customFormat="1" ht="30" x14ac:dyDescent="0.25">
      <c r="A655" s="530">
        <v>206</v>
      </c>
      <c r="B655" s="384" t="s">
        <v>659</v>
      </c>
      <c r="C655" s="412">
        <f>C656</f>
        <v>600</v>
      </c>
      <c r="D655" s="412">
        <f>D656</f>
        <v>600</v>
      </c>
      <c r="E655" s="412">
        <f>E656+E659</f>
        <v>1880</v>
      </c>
      <c r="F655" s="412">
        <f>F656+F659</f>
        <v>1880</v>
      </c>
    </row>
    <row r="656" spans="1:6" s="155" customFormat="1" x14ac:dyDescent="0.25">
      <c r="A656" s="530"/>
      <c r="B656" s="387" t="s">
        <v>19</v>
      </c>
      <c r="C656" s="415">
        <v>600</v>
      </c>
      <c r="D656" s="415">
        <v>600</v>
      </c>
      <c r="E656" s="415">
        <f>C656</f>
        <v>600</v>
      </c>
      <c r="F656" s="415">
        <f>D656</f>
        <v>600</v>
      </c>
    </row>
    <row r="657" spans="1:6" ht="63" customHeight="1" x14ac:dyDescent="0.25">
      <c r="A657" s="530">
        <v>207</v>
      </c>
      <c r="B657" s="384" t="s">
        <v>257</v>
      </c>
      <c r="C657" s="412">
        <f>C658</f>
        <v>700</v>
      </c>
      <c r="D657" s="412">
        <f>D658</f>
        <v>700</v>
      </c>
      <c r="E657" s="412">
        <f>E658+E661</f>
        <v>5230</v>
      </c>
      <c r="F657" s="412">
        <f>F658+F661</f>
        <v>5230</v>
      </c>
    </row>
    <row r="658" spans="1:6" s="155" customFormat="1" x14ac:dyDescent="0.25">
      <c r="A658" s="530"/>
      <c r="B658" s="387" t="s">
        <v>19</v>
      </c>
      <c r="C658" s="422">
        <v>700</v>
      </c>
      <c r="D658" s="422">
        <v>700</v>
      </c>
      <c r="E658" s="415">
        <f>C658+'2016'!E493+'2017'!E491+'2018'!E490</f>
        <v>2800</v>
      </c>
      <c r="F658" s="415">
        <f>D658+'2016'!F493+'2017'!F491+'2018'!F490</f>
        <v>2800</v>
      </c>
    </row>
    <row r="659" spans="1:6" ht="81" customHeight="1" x14ac:dyDescent="0.25">
      <c r="A659" s="530">
        <v>208</v>
      </c>
      <c r="B659" s="384" t="s">
        <v>258</v>
      </c>
      <c r="C659" s="412">
        <f>C660</f>
        <v>400</v>
      </c>
      <c r="D659" s="412">
        <f>D660</f>
        <v>400</v>
      </c>
      <c r="E659" s="412">
        <f>E660</f>
        <v>1280</v>
      </c>
      <c r="F659" s="412">
        <f>F660</f>
        <v>1280</v>
      </c>
    </row>
    <row r="660" spans="1:6" s="155" customFormat="1" x14ac:dyDescent="0.25">
      <c r="A660" s="530"/>
      <c r="B660" s="387" t="s">
        <v>22</v>
      </c>
      <c r="C660" s="422">
        <v>400</v>
      </c>
      <c r="D660" s="422">
        <v>400</v>
      </c>
      <c r="E660" s="422">
        <f>C660+'2016'!E495+'2017'!E493+'2018'!E492</f>
        <v>1280</v>
      </c>
      <c r="F660" s="415">
        <v>1280</v>
      </c>
    </row>
    <row r="661" spans="1:6" ht="79.5" customHeight="1" x14ac:dyDescent="0.25">
      <c r="A661" s="530">
        <v>209</v>
      </c>
      <c r="B661" s="384" t="s">
        <v>259</v>
      </c>
      <c r="C661" s="412">
        <f>C662</f>
        <v>700</v>
      </c>
      <c r="D661" s="412">
        <f>D662</f>
        <v>700</v>
      </c>
      <c r="E661" s="412">
        <f>E662</f>
        <v>2430</v>
      </c>
      <c r="F661" s="412">
        <f>F662</f>
        <v>2430</v>
      </c>
    </row>
    <row r="662" spans="1:6" s="155" customFormat="1" x14ac:dyDescent="0.25">
      <c r="A662" s="530"/>
      <c r="B662" s="387" t="s">
        <v>22</v>
      </c>
      <c r="C662" s="422">
        <v>700</v>
      </c>
      <c r="D662" s="422">
        <v>700</v>
      </c>
      <c r="E662" s="422">
        <f>C662+'2016'!E497+'2017'!E495+'2018'!E494</f>
        <v>2430</v>
      </c>
      <c r="F662" s="422">
        <v>2430</v>
      </c>
    </row>
    <row r="663" spans="1:6" s="155" customFormat="1" ht="30" x14ac:dyDescent="0.25">
      <c r="A663" s="530">
        <v>210</v>
      </c>
      <c r="B663" s="384" t="s">
        <v>552</v>
      </c>
      <c r="C663" s="412">
        <f>C664</f>
        <v>4800</v>
      </c>
      <c r="D663" s="412">
        <f>D664</f>
        <v>0</v>
      </c>
      <c r="E663" s="412">
        <f>E664</f>
        <v>6800</v>
      </c>
      <c r="F663" s="412">
        <f>F664</f>
        <v>2000</v>
      </c>
    </row>
    <row r="664" spans="1:6" s="155" customFormat="1" x14ac:dyDescent="0.25">
      <c r="A664" s="530"/>
      <c r="B664" s="387" t="s">
        <v>22</v>
      </c>
      <c r="C664" s="422">
        <v>4800</v>
      </c>
      <c r="D664" s="415"/>
      <c r="E664" s="422">
        <v>6800</v>
      </c>
      <c r="F664" s="422">
        <v>2000</v>
      </c>
    </row>
    <row r="665" spans="1:6" ht="60.75" customHeight="1" x14ac:dyDescent="0.25">
      <c r="A665" s="530">
        <v>211</v>
      </c>
      <c r="B665" s="384" t="s">
        <v>260</v>
      </c>
      <c r="C665" s="412">
        <f>C666</f>
        <v>3000</v>
      </c>
      <c r="D665" s="412">
        <f>D666</f>
        <v>3000</v>
      </c>
      <c r="E665" s="412">
        <f>E666</f>
        <v>9400</v>
      </c>
      <c r="F665" s="412">
        <f>F666</f>
        <v>9400</v>
      </c>
    </row>
    <row r="666" spans="1:6" s="155" customFormat="1" x14ac:dyDescent="0.25">
      <c r="A666" s="530"/>
      <c r="B666" s="387" t="s">
        <v>22</v>
      </c>
      <c r="C666" s="415">
        <v>3000</v>
      </c>
      <c r="D666" s="415">
        <v>3000</v>
      </c>
      <c r="E666" s="415">
        <f>C666+'2016'!E499+'2017'!E497+'2018'!E496</f>
        <v>9400</v>
      </c>
      <c r="F666" s="415">
        <v>9400</v>
      </c>
    </row>
    <row r="667" spans="1:6" ht="61.5" customHeight="1" x14ac:dyDescent="0.25">
      <c r="A667" s="530">
        <v>212</v>
      </c>
      <c r="B667" s="384" t="s">
        <v>261</v>
      </c>
      <c r="C667" s="412">
        <f>C668</f>
        <v>1300</v>
      </c>
      <c r="D667" s="412">
        <f>D668</f>
        <v>1300</v>
      </c>
      <c r="E667" s="412">
        <f>E668</f>
        <v>3700</v>
      </c>
      <c r="F667" s="412">
        <f>F668</f>
        <v>3700</v>
      </c>
    </row>
    <row r="668" spans="1:6" s="155" customFormat="1" x14ac:dyDescent="0.25">
      <c r="A668" s="530"/>
      <c r="B668" s="387" t="s">
        <v>22</v>
      </c>
      <c r="C668" s="415">
        <v>1300</v>
      </c>
      <c r="D668" s="415">
        <v>1300</v>
      </c>
      <c r="E668" s="415">
        <f>C668+'2016'!E501+'2017'!E499+'2018'!E498</f>
        <v>3700</v>
      </c>
      <c r="F668" s="415">
        <v>3700</v>
      </c>
    </row>
    <row r="669" spans="1:6" s="155" customFormat="1" ht="60" x14ac:dyDescent="0.25">
      <c r="A669" s="530">
        <v>213</v>
      </c>
      <c r="B669" s="384" t="s">
        <v>498</v>
      </c>
      <c r="C669" s="412">
        <f>C670</f>
        <v>500</v>
      </c>
      <c r="D669" s="412">
        <f>D670</f>
        <v>500</v>
      </c>
      <c r="E669" s="412">
        <f>E670</f>
        <v>1100</v>
      </c>
      <c r="F669" s="412">
        <f>F670</f>
        <v>1100</v>
      </c>
    </row>
    <row r="670" spans="1:6" s="155" customFormat="1" x14ac:dyDescent="0.25">
      <c r="A670" s="530"/>
      <c r="B670" s="387" t="s">
        <v>22</v>
      </c>
      <c r="C670" s="415">
        <v>500</v>
      </c>
      <c r="D670" s="415">
        <v>500</v>
      </c>
      <c r="E670" s="415">
        <f>'2016'!E503+'2018'!E500+'2019'!E672</f>
        <v>1100</v>
      </c>
      <c r="F670" s="415">
        <v>1100</v>
      </c>
    </row>
    <row r="671" spans="1:6" ht="60" x14ac:dyDescent="0.25">
      <c r="A671" s="530">
        <v>214</v>
      </c>
      <c r="B671" s="384" t="s">
        <v>262</v>
      </c>
      <c r="C671" s="412">
        <f>C672</f>
        <v>40000</v>
      </c>
      <c r="D671" s="412">
        <f>D672</f>
        <v>40000</v>
      </c>
      <c r="E671" s="412">
        <f>E672</f>
        <v>103000</v>
      </c>
      <c r="F671" s="412">
        <f>F672</f>
        <v>103000</v>
      </c>
    </row>
    <row r="672" spans="1:6" s="155" customFormat="1" x14ac:dyDescent="0.25">
      <c r="A672" s="530"/>
      <c r="B672" s="387" t="s">
        <v>22</v>
      </c>
      <c r="C672" s="415">
        <v>40000</v>
      </c>
      <c r="D672" s="415">
        <v>40000</v>
      </c>
      <c r="E672" s="415">
        <f>C672+'2016'!E505+'2017'!E501+'2018'!E502</f>
        <v>103000</v>
      </c>
      <c r="F672" s="415">
        <v>103000</v>
      </c>
    </row>
    <row r="673" spans="1:6" x14ac:dyDescent="0.25">
      <c r="A673" s="530"/>
      <c r="B673" s="394" t="s">
        <v>54</v>
      </c>
      <c r="C673" s="432">
        <f>C674+C675+C676</f>
        <v>294908</v>
      </c>
      <c r="D673" s="432">
        <f>D674+D675+D676</f>
        <v>380430.02999999997</v>
      </c>
      <c r="E673" s="432">
        <f>E674+E675+E676</f>
        <v>1269398</v>
      </c>
      <c r="F673" s="432">
        <f>F674+F675+F676</f>
        <v>1546915.17</v>
      </c>
    </row>
    <row r="674" spans="1:6" s="155" customFormat="1" x14ac:dyDescent="0.25">
      <c r="A674" s="530"/>
      <c r="B674" s="387" t="s">
        <v>13</v>
      </c>
      <c r="C674" s="422">
        <f>C490+C496+C502+C515+C531+C577+C585+C587+C589+C592+C595+C597+C599+C601+C603+C605+C607+C609</f>
        <v>87458</v>
      </c>
      <c r="D674" s="422">
        <f>D490+D496+D502+D515+D531+D577+D585+D587+D589+D592+D595+D597+D599+D601+D603+D605+D607+D609</f>
        <v>87458</v>
      </c>
      <c r="E674" s="422">
        <f>E490+E496+E502+E515+E531+E577+E585+E587+E589+E592+E595+E597+E599+E601+E603+E605+E607+E609</f>
        <v>166638</v>
      </c>
      <c r="F674" s="422">
        <f>F490+F496+F502+F515+F531+F577+F585+F587+F589+F592+F595+F597+F599+F601+F603+F605+F607+F609</f>
        <v>164891.94</v>
      </c>
    </row>
    <row r="675" spans="1:6" s="155" customFormat="1" x14ac:dyDescent="0.25">
      <c r="A675" s="530"/>
      <c r="B675" s="387" t="s">
        <v>22</v>
      </c>
      <c r="C675" s="422">
        <f>C636+C639+C645+C649+C651+C660+C662+C664+C666+C668+C670+C672</f>
        <v>71650</v>
      </c>
      <c r="D675" s="422">
        <f>D636+D639+D645+D649+D651+D660+D662+D664+D666+D668+D670+D672</f>
        <v>66850</v>
      </c>
      <c r="E675" s="422">
        <f>E556+E569+E636+E639+E645+E649+E651+E660+E662+E664+E666+E668+E670+E672</f>
        <v>423660</v>
      </c>
      <c r="F675" s="422">
        <f>F556+F569+F636+F639+F645+F649+F651+F660+F662+F664+F666+F668+F670+F672</f>
        <v>398760</v>
      </c>
    </row>
    <row r="676" spans="1:6" s="155" customFormat="1" x14ac:dyDescent="0.25">
      <c r="A676" s="530"/>
      <c r="B676" s="387" t="s">
        <v>19</v>
      </c>
      <c r="C676" s="422">
        <f>C461+C467+C473+C479+C484+C503+C516+C525+C533+C535+C540+C545+C550+C552+C559+C563+C565+C572+C579+C581+C583+C590+C593+C611+C613+C615+C617+C619+C621+C623+C625+C627+C629+C631+C633+C635+C638+C641+C643+C647+C652+C654+C656+C658+C561</f>
        <v>135800</v>
      </c>
      <c r="D676" s="422">
        <f>D461+D467+D473+D479+D484+D503+D516+D525+D533+D535+D540+D545+D550+D552+D559+D563+D565+D572+D579+D581+D583+D590+D593+D611+D613+D615+D617+D619+D621+D623+D625+D627+D629+D631+D633+D635+D638+D641+D643+D647+D652+D654+D656+D658+D561</f>
        <v>226122.02999999997</v>
      </c>
      <c r="E676" s="422">
        <f>E461+E467+E473+E479+E484+E503+E516+E525+E533+E535+E540+E545+E550+E552+E559+E563+E565+E572+E579+E581+E583+E590+E593+E611+E613+E615+E617+E619+E621+E623+E625+E627+E629+E631+E633+E635+E638+E641+E643+E647+E652+E654+E656+E658+E561</f>
        <v>679100</v>
      </c>
      <c r="F676" s="422">
        <f>F461+F467+F473+F479+F484+F503+F516+F525+F533+F535+F540+F545+F550+F552+F559+F563+F565+F572+F579+F581+F583+F590+F593+F611+F613+F615+F617+F619+F621+F623+F625+F627+F629+F631+F633+F635+F638+F641+F643+F647+F652+F654+F656+F658+F561</f>
        <v>983263.2300000001</v>
      </c>
    </row>
    <row r="677" spans="1:6" s="155" customFormat="1" ht="18.75" customHeight="1" x14ac:dyDescent="0.25">
      <c r="A677" s="530"/>
      <c r="B677" s="387" t="s">
        <v>139</v>
      </c>
      <c r="C677" s="422"/>
      <c r="D677" s="422"/>
      <c r="E677" s="422"/>
      <c r="F677" s="422"/>
    </row>
    <row r="678" spans="1:6" s="155" customFormat="1" ht="6.75" customHeight="1" x14ac:dyDescent="0.25">
      <c r="A678" s="530"/>
      <c r="B678" s="387"/>
      <c r="C678" s="422"/>
      <c r="D678" s="422"/>
      <c r="E678" s="422"/>
      <c r="F678" s="422"/>
    </row>
    <row r="679" spans="1:6" x14ac:dyDescent="0.25">
      <c r="A679" s="530"/>
      <c r="B679" s="394" t="s">
        <v>73</v>
      </c>
      <c r="C679" s="432">
        <f>C680+C681+C682</f>
        <v>5194898.2000000011</v>
      </c>
      <c r="D679" s="432">
        <f>D680+D681+D682</f>
        <v>5270791.0700000012</v>
      </c>
      <c r="E679" s="432">
        <f>E680+E681+E682+E683</f>
        <v>18938326</v>
      </c>
      <c r="F679" s="432">
        <f>F680+F681+F682+F683</f>
        <v>20213489.729999997</v>
      </c>
    </row>
    <row r="680" spans="1:6" s="155" customFormat="1" x14ac:dyDescent="0.25">
      <c r="A680" s="530"/>
      <c r="B680" s="387" t="s">
        <v>13</v>
      </c>
      <c r="C680" s="422">
        <f t="shared" ref="C680:F681" si="10">C456+C674</f>
        <v>4704168.0000000009</v>
      </c>
      <c r="D680" s="422">
        <f t="shared" si="10"/>
        <v>4704168.0000000009</v>
      </c>
      <c r="E680" s="422">
        <f t="shared" si="10"/>
        <v>16181634.800000001</v>
      </c>
      <c r="F680" s="422">
        <f t="shared" si="10"/>
        <v>16104465.649999999</v>
      </c>
    </row>
    <row r="681" spans="1:6" s="155" customFormat="1" x14ac:dyDescent="0.25">
      <c r="A681" s="530"/>
      <c r="B681" s="387" t="s">
        <v>22</v>
      </c>
      <c r="C681" s="422">
        <f t="shared" si="10"/>
        <v>354930.2</v>
      </c>
      <c r="D681" s="422">
        <f t="shared" si="10"/>
        <v>340501.04</v>
      </c>
      <c r="E681" s="422">
        <f t="shared" si="10"/>
        <v>2000591.2</v>
      </c>
      <c r="F681" s="422">
        <f t="shared" si="10"/>
        <v>1859546.9</v>
      </c>
    </row>
    <row r="682" spans="1:6" s="155" customFormat="1" x14ac:dyDescent="0.25">
      <c r="A682" s="530"/>
      <c r="B682" s="387" t="s">
        <v>53</v>
      </c>
      <c r="C682" s="422">
        <f>C676</f>
        <v>135800</v>
      </c>
      <c r="D682" s="422">
        <f>D676</f>
        <v>226122.02999999997</v>
      </c>
      <c r="E682" s="422">
        <f>E676</f>
        <v>679100</v>
      </c>
      <c r="F682" s="422">
        <f>F676</f>
        <v>983263.2300000001</v>
      </c>
    </row>
    <row r="683" spans="1:6" x14ac:dyDescent="0.25">
      <c r="A683" s="530"/>
      <c r="B683" s="384" t="s">
        <v>139</v>
      </c>
      <c r="C683" s="428"/>
      <c r="D683" s="428"/>
      <c r="E683" s="415">
        <f>E458+E677</f>
        <v>77000</v>
      </c>
      <c r="F683" s="415">
        <f>F458+F677</f>
        <v>1266213.95</v>
      </c>
    </row>
    <row r="684" spans="1:6" x14ac:dyDescent="0.25">
      <c r="A684" s="565" t="s">
        <v>307</v>
      </c>
      <c r="B684" s="565"/>
      <c r="C684" s="565"/>
      <c r="D684" s="565"/>
      <c r="E684" s="565"/>
      <c r="F684" s="565"/>
    </row>
    <row r="685" spans="1:6" x14ac:dyDescent="0.25">
      <c r="A685" s="564" t="s">
        <v>74</v>
      </c>
      <c r="B685" s="564"/>
      <c r="C685" s="564"/>
      <c r="D685" s="564"/>
      <c r="E685" s="564"/>
      <c r="F685" s="564"/>
    </row>
    <row r="686" spans="1:6" ht="90" x14ac:dyDescent="0.25">
      <c r="A686" s="495">
        <v>215</v>
      </c>
      <c r="B686" s="384" t="s">
        <v>75</v>
      </c>
      <c r="C686" s="385">
        <f>C687</f>
        <v>50675</v>
      </c>
      <c r="D686" s="385">
        <f>D687</f>
        <v>50675</v>
      </c>
      <c r="E686" s="385">
        <f>E687</f>
        <v>227210</v>
      </c>
      <c r="F686" s="385">
        <f>F687</f>
        <v>227210</v>
      </c>
    </row>
    <row r="687" spans="1:6" s="155" customFormat="1" x14ac:dyDescent="0.25">
      <c r="A687" s="495"/>
      <c r="B687" s="387" t="s">
        <v>13</v>
      </c>
      <c r="C687" s="389">
        <v>50675</v>
      </c>
      <c r="D687" s="389">
        <v>50675</v>
      </c>
      <c r="E687" s="389">
        <f>C687+'2016'!E519+'2017'!E515+'2018'!E515</f>
        <v>227210</v>
      </c>
      <c r="F687" s="389">
        <f>D687+'2016'!E519+'2017'!E515+'2018'!E515</f>
        <v>227210</v>
      </c>
    </row>
    <row r="688" spans="1:6" ht="75" x14ac:dyDescent="0.25">
      <c r="A688" s="495">
        <v>216</v>
      </c>
      <c r="B688" s="384" t="s">
        <v>76</v>
      </c>
      <c r="C688" s="385">
        <f>C689</f>
        <v>11800</v>
      </c>
      <c r="D688" s="385">
        <f>D689</f>
        <v>11800</v>
      </c>
      <c r="E688" s="385">
        <f>E689</f>
        <v>76713</v>
      </c>
      <c r="F688" s="385">
        <f>F689</f>
        <v>76713</v>
      </c>
    </row>
    <row r="689" spans="1:6" s="155" customFormat="1" x14ac:dyDescent="0.25">
      <c r="A689" s="530"/>
      <c r="B689" s="387" t="s">
        <v>13</v>
      </c>
      <c r="C689" s="389">
        <v>11800</v>
      </c>
      <c r="D689" s="389">
        <v>11800</v>
      </c>
      <c r="E689" s="389">
        <f>C689+'2016'!E521+'2017'!E517+'2018'!E517</f>
        <v>76713</v>
      </c>
      <c r="F689" s="389">
        <f>D689+'2016'!E521+'2017'!E517+'2018'!E517</f>
        <v>76713</v>
      </c>
    </row>
    <row r="690" spans="1:6" s="155" customFormat="1" ht="30" x14ac:dyDescent="0.25">
      <c r="A690" s="530">
        <v>217</v>
      </c>
      <c r="B690" s="384" t="s">
        <v>554</v>
      </c>
      <c r="C690" s="385">
        <f>C691</f>
        <v>119458</v>
      </c>
      <c r="D690" s="385">
        <f>D691</f>
        <v>119458</v>
      </c>
      <c r="E690" s="385">
        <f>E691</f>
        <v>255356</v>
      </c>
      <c r="F690" s="385">
        <f>F691</f>
        <v>255356</v>
      </c>
    </row>
    <row r="691" spans="1:6" s="155" customFormat="1" x14ac:dyDescent="0.25">
      <c r="A691" s="530"/>
      <c r="B691" s="387" t="s">
        <v>13</v>
      </c>
      <c r="C691" s="389">
        <v>119458</v>
      </c>
      <c r="D691" s="389">
        <v>119458</v>
      </c>
      <c r="E691" s="389">
        <f>C691+'2017'!E519</f>
        <v>255356</v>
      </c>
      <c r="F691" s="389">
        <f>D691+'2017'!E519</f>
        <v>255356</v>
      </c>
    </row>
    <row r="692" spans="1:6" ht="120" x14ac:dyDescent="0.25">
      <c r="A692" s="495">
        <v>218</v>
      </c>
      <c r="B692" s="384" t="s">
        <v>77</v>
      </c>
      <c r="C692" s="385">
        <f>C693</f>
        <v>6000</v>
      </c>
      <c r="D692" s="385">
        <f>D693</f>
        <v>6000</v>
      </c>
      <c r="E692" s="385">
        <f>E693</f>
        <v>54600</v>
      </c>
      <c r="F692" s="385">
        <f>F693</f>
        <v>54600</v>
      </c>
    </row>
    <row r="693" spans="1:6" s="155" customFormat="1" x14ac:dyDescent="0.25">
      <c r="A693" s="495"/>
      <c r="B693" s="387" t="s">
        <v>13</v>
      </c>
      <c r="C693" s="389">
        <v>6000</v>
      </c>
      <c r="D693" s="389">
        <v>6000</v>
      </c>
      <c r="E693" s="389">
        <f>C693+'2016'!E523+'2017'!E521+'2018'!E519</f>
        <v>54600</v>
      </c>
      <c r="F693" s="389">
        <f>D693+'2016'!E523+'2017'!E521+'2018'!E519</f>
        <v>54600</v>
      </c>
    </row>
    <row r="694" spans="1:6" ht="105" x14ac:dyDescent="0.25">
      <c r="A694" s="495">
        <v>219</v>
      </c>
      <c r="B694" s="384" t="s">
        <v>78</v>
      </c>
      <c r="C694" s="385">
        <f>C695+C696</f>
        <v>8400</v>
      </c>
      <c r="D694" s="385">
        <f>D695+D696</f>
        <v>8400</v>
      </c>
      <c r="E694" s="385">
        <f>E695+E696</f>
        <v>30130</v>
      </c>
      <c r="F694" s="385">
        <f>F695+F696</f>
        <v>30130</v>
      </c>
    </row>
    <row r="695" spans="1:6" s="155" customFormat="1" x14ac:dyDescent="0.25">
      <c r="A695" s="530"/>
      <c r="B695" s="387" t="s">
        <v>13</v>
      </c>
      <c r="C695" s="389">
        <v>5900</v>
      </c>
      <c r="D695" s="389">
        <v>5900</v>
      </c>
      <c r="E695" s="389">
        <f>C695+'2016'!E525+'2017'!E523+'2018'!E521</f>
        <v>20130</v>
      </c>
      <c r="F695" s="389">
        <f>D695+'2016'!F525+'2017'!F523+'2018'!F521</f>
        <v>20130</v>
      </c>
    </row>
    <row r="696" spans="1:6" s="155" customFormat="1" x14ac:dyDescent="0.25">
      <c r="A696" s="530"/>
      <c r="B696" s="387" t="s">
        <v>139</v>
      </c>
      <c r="C696" s="389">
        <v>2500</v>
      </c>
      <c r="D696" s="389">
        <v>2500</v>
      </c>
      <c r="E696" s="389">
        <f>C696+'2016'!E526+'2017'!E524+'2018'!E522</f>
        <v>10000</v>
      </c>
      <c r="F696" s="389">
        <f>D696+'2016'!F526+'2017'!F524+'2018'!F522</f>
        <v>10000</v>
      </c>
    </row>
    <row r="697" spans="1:6" x14ac:dyDescent="0.25">
      <c r="A697" s="530"/>
      <c r="B697" s="394" t="s">
        <v>54</v>
      </c>
      <c r="C697" s="395">
        <f>C698+C699</f>
        <v>196333</v>
      </c>
      <c r="D697" s="395">
        <f>D698+D699</f>
        <v>196333</v>
      </c>
      <c r="E697" s="395">
        <f>E698+E699</f>
        <v>644009</v>
      </c>
      <c r="F697" s="395">
        <f>F698+F699</f>
        <v>644009</v>
      </c>
    </row>
    <row r="698" spans="1:6" s="155" customFormat="1" x14ac:dyDescent="0.25">
      <c r="A698" s="530"/>
      <c r="B698" s="387" t="s">
        <v>13</v>
      </c>
      <c r="C698" s="389">
        <f>C687+C689+C691+C693+C695</f>
        <v>193833</v>
      </c>
      <c r="D698" s="389">
        <f>D687+D689+D691+D693+D695</f>
        <v>193833</v>
      </c>
      <c r="E698" s="389">
        <f>E687+E689+E691+E693+E695</f>
        <v>634009</v>
      </c>
      <c r="F698" s="389">
        <f>F687+F689+F691+F693+F695</f>
        <v>634009</v>
      </c>
    </row>
    <row r="699" spans="1:6" s="155" customFormat="1" x14ac:dyDescent="0.25">
      <c r="A699" s="530"/>
      <c r="B699" s="387" t="s">
        <v>139</v>
      </c>
      <c r="C699" s="389">
        <f>C696</f>
        <v>2500</v>
      </c>
      <c r="D699" s="389">
        <f>D696</f>
        <v>2500</v>
      </c>
      <c r="E699" s="389">
        <f>E696</f>
        <v>10000</v>
      </c>
      <c r="F699" s="389">
        <f>F696</f>
        <v>10000</v>
      </c>
    </row>
    <row r="700" spans="1:6" x14ac:dyDescent="0.25">
      <c r="A700" s="530"/>
      <c r="B700" s="564" t="s">
        <v>79</v>
      </c>
      <c r="C700" s="564"/>
      <c r="D700" s="564"/>
      <c r="E700" s="564"/>
      <c r="F700" s="564"/>
    </row>
    <row r="701" spans="1:6" ht="110.25" customHeight="1" x14ac:dyDescent="0.25">
      <c r="A701" s="495">
        <v>220</v>
      </c>
      <c r="B701" s="384" t="s">
        <v>80</v>
      </c>
      <c r="C701" s="385">
        <f>C702</f>
        <v>58500</v>
      </c>
      <c r="D701" s="385">
        <f>D702</f>
        <v>58500</v>
      </c>
      <c r="E701" s="385">
        <f>E702</f>
        <v>293300</v>
      </c>
      <c r="F701" s="385">
        <f>F702</f>
        <v>293300</v>
      </c>
    </row>
    <row r="702" spans="1:6" s="155" customFormat="1" x14ac:dyDescent="0.25">
      <c r="A702" s="530"/>
      <c r="B702" s="387" t="s">
        <v>13</v>
      </c>
      <c r="C702" s="389">
        <v>58500</v>
      </c>
      <c r="D702" s="389">
        <v>58500</v>
      </c>
      <c r="E702" s="389">
        <f>C702+'2016'!E532+'2017'!E530+'2018'!E528</f>
        <v>293300</v>
      </c>
      <c r="F702" s="389">
        <f>D702+'2016'!E532+'2017'!E530+'2018'!E528</f>
        <v>293300</v>
      </c>
    </row>
    <row r="703" spans="1:6" s="155" customFormat="1" ht="30" x14ac:dyDescent="0.25">
      <c r="A703" s="495">
        <v>221</v>
      </c>
      <c r="B703" s="434" t="s">
        <v>499</v>
      </c>
      <c r="C703" s="385">
        <f>C704</f>
        <v>13500</v>
      </c>
      <c r="D703" s="385">
        <f>D704</f>
        <v>13500</v>
      </c>
      <c r="E703" s="385">
        <f>E704</f>
        <v>57230</v>
      </c>
      <c r="F703" s="385">
        <f>F704</f>
        <v>57230</v>
      </c>
    </row>
    <row r="704" spans="1:6" s="155" customFormat="1" x14ac:dyDescent="0.25">
      <c r="A704" s="530"/>
      <c r="B704" s="387" t="s">
        <v>13</v>
      </c>
      <c r="C704" s="389">
        <v>13500</v>
      </c>
      <c r="D704" s="389">
        <v>13500</v>
      </c>
      <c r="E704" s="389">
        <f>C704+'2016'!E534+'2017'!E532+'2018'!E530</f>
        <v>57230</v>
      </c>
      <c r="F704" s="389">
        <f>D704+'2016'!E534+'2017'!E532+'2018'!E530</f>
        <v>57230</v>
      </c>
    </row>
    <row r="705" spans="1:6" ht="75" x14ac:dyDescent="0.25">
      <c r="A705" s="530">
        <v>222</v>
      </c>
      <c r="B705" s="384" t="s">
        <v>81</v>
      </c>
      <c r="C705" s="385">
        <f>C706</f>
        <v>10500</v>
      </c>
      <c r="D705" s="385">
        <f>D706</f>
        <v>10500</v>
      </c>
      <c r="E705" s="385">
        <f>E706</f>
        <v>41950</v>
      </c>
      <c r="F705" s="385">
        <f>F706</f>
        <v>41950</v>
      </c>
    </row>
    <row r="706" spans="1:6" s="155" customFormat="1" x14ac:dyDescent="0.25">
      <c r="A706" s="530"/>
      <c r="B706" s="387" t="s">
        <v>13</v>
      </c>
      <c r="C706" s="404">
        <v>10500</v>
      </c>
      <c r="D706" s="404">
        <v>10500</v>
      </c>
      <c r="E706" s="389">
        <f>C706+'2016'!E536+'2017'!E534+'2018'!E532</f>
        <v>41950</v>
      </c>
      <c r="F706" s="389">
        <f>D706+'2016'!E536+'2017'!E534+'2018'!E532</f>
        <v>41950</v>
      </c>
    </row>
    <row r="707" spans="1:6" ht="75" x14ac:dyDescent="0.25">
      <c r="A707" s="530">
        <v>223</v>
      </c>
      <c r="B707" s="384" t="s">
        <v>82</v>
      </c>
      <c r="C707" s="385">
        <f>C708</f>
        <v>8000</v>
      </c>
      <c r="D707" s="385">
        <f>D708</f>
        <v>8000</v>
      </c>
      <c r="E707" s="385">
        <f>E708</f>
        <v>31620</v>
      </c>
      <c r="F707" s="385">
        <f>F708</f>
        <v>31620</v>
      </c>
    </row>
    <row r="708" spans="1:6" s="155" customFormat="1" x14ac:dyDescent="0.25">
      <c r="A708" s="530"/>
      <c r="B708" s="387" t="s">
        <v>13</v>
      </c>
      <c r="C708" s="404">
        <v>8000</v>
      </c>
      <c r="D708" s="404">
        <v>8000</v>
      </c>
      <c r="E708" s="389">
        <f>C708+'2016'!E538+'2017'!E536+'2018'!E534</f>
        <v>31620</v>
      </c>
      <c r="F708" s="389">
        <f>D708+'2016'!E538+'2017'!E536+'2018'!E534</f>
        <v>31620</v>
      </c>
    </row>
    <row r="709" spans="1:6" ht="95.25" customHeight="1" x14ac:dyDescent="0.25">
      <c r="A709" s="530">
        <v>224</v>
      </c>
      <c r="B709" s="384" t="s">
        <v>83</v>
      </c>
      <c r="C709" s="385">
        <f>C710</f>
        <v>69659</v>
      </c>
      <c r="D709" s="385">
        <f>D710</f>
        <v>69659</v>
      </c>
      <c r="E709" s="385">
        <f>E710</f>
        <v>586875</v>
      </c>
      <c r="F709" s="385">
        <f>F710</f>
        <v>438399.1</v>
      </c>
    </row>
    <row r="710" spans="1:6" s="155" customFormat="1" x14ac:dyDescent="0.25">
      <c r="A710" s="530"/>
      <c r="B710" s="387" t="s">
        <v>13</v>
      </c>
      <c r="C710" s="389">
        <v>69659</v>
      </c>
      <c r="D710" s="389">
        <v>69659</v>
      </c>
      <c r="E710" s="389">
        <f>C710+'2016'!E540+'2017'!E538+'2018'!E536</f>
        <v>586875</v>
      </c>
      <c r="F710" s="389">
        <f>D710+93424.1+'2017'!E538+'2018'!E536</f>
        <v>438399.1</v>
      </c>
    </row>
    <row r="711" spans="1:6" s="155" customFormat="1" ht="45" x14ac:dyDescent="0.25">
      <c r="A711" s="530">
        <v>225</v>
      </c>
      <c r="B711" s="384" t="s">
        <v>299</v>
      </c>
      <c r="C711" s="385">
        <f>C712</f>
        <v>19350</v>
      </c>
      <c r="D711" s="385">
        <f>D712</f>
        <v>19350</v>
      </c>
      <c r="E711" s="385">
        <f>E712</f>
        <v>56700</v>
      </c>
      <c r="F711" s="385">
        <f>F712</f>
        <v>56700</v>
      </c>
    </row>
    <row r="712" spans="1:6" s="155" customFormat="1" x14ac:dyDescent="0.25">
      <c r="A712" s="530"/>
      <c r="B712" s="387" t="s">
        <v>13</v>
      </c>
      <c r="C712" s="389">
        <v>19350</v>
      </c>
      <c r="D712" s="389">
        <v>19350</v>
      </c>
      <c r="E712" s="389">
        <f>C712+'2017'!E540+'2018'!E538</f>
        <v>56700</v>
      </c>
      <c r="F712" s="389">
        <f>D712+'2017'!E540+'2018'!E538</f>
        <v>56700</v>
      </c>
    </row>
    <row r="713" spans="1:6" x14ac:dyDescent="0.25">
      <c r="A713" s="530"/>
      <c r="B713" s="394" t="s">
        <v>54</v>
      </c>
      <c r="C713" s="395">
        <f>C714</f>
        <v>179509</v>
      </c>
      <c r="D713" s="395">
        <f>D714</f>
        <v>179509</v>
      </c>
      <c r="E713" s="395">
        <f>E714</f>
        <v>1067675</v>
      </c>
      <c r="F713" s="395">
        <f>F714</f>
        <v>919199.1</v>
      </c>
    </row>
    <row r="714" spans="1:6" s="155" customFormat="1" x14ac:dyDescent="0.25">
      <c r="A714" s="530"/>
      <c r="B714" s="387" t="s">
        <v>13</v>
      </c>
      <c r="C714" s="389">
        <f>C710+C708+C706+C704+C702+C712</f>
        <v>179509</v>
      </c>
      <c r="D714" s="389">
        <f>D710+D708+D706+D704+D702+D712</f>
        <v>179509</v>
      </c>
      <c r="E714" s="389">
        <f>E710+E708+E706+E704+E702+E712</f>
        <v>1067675</v>
      </c>
      <c r="F714" s="389">
        <f>F710+F708+F706+F704+F702+F712</f>
        <v>919199.1</v>
      </c>
    </row>
    <row r="715" spans="1:6" x14ac:dyDescent="0.25">
      <c r="A715" s="564" t="s">
        <v>84</v>
      </c>
      <c r="B715" s="564"/>
      <c r="C715" s="564"/>
      <c r="D715" s="564"/>
      <c r="E715" s="564"/>
      <c r="F715" s="564"/>
    </row>
    <row r="716" spans="1:6" ht="78.75" customHeight="1" x14ac:dyDescent="0.25">
      <c r="A716" s="530">
        <v>226</v>
      </c>
      <c r="B716" s="384" t="s">
        <v>85</v>
      </c>
      <c r="C716" s="385">
        <f>C717</f>
        <v>5600</v>
      </c>
      <c r="D716" s="385">
        <f>D717</f>
        <v>5600</v>
      </c>
      <c r="E716" s="385">
        <f>E717</f>
        <v>22200</v>
      </c>
      <c r="F716" s="385">
        <f>F717</f>
        <v>22200</v>
      </c>
    </row>
    <row r="717" spans="1:6" s="155" customFormat="1" x14ac:dyDescent="0.25">
      <c r="A717" s="530"/>
      <c r="B717" s="387" t="s">
        <v>13</v>
      </c>
      <c r="C717" s="389">
        <v>5600</v>
      </c>
      <c r="D717" s="389">
        <v>5600</v>
      </c>
      <c r="E717" s="389">
        <f>C717+'2016'!E545+'2017'!E545+'2018'!E543</f>
        <v>22200</v>
      </c>
      <c r="F717" s="389">
        <f>D717+'2016'!E545+'2017'!E545+'2018'!E543</f>
        <v>22200</v>
      </c>
    </row>
    <row r="718" spans="1:6" ht="75" x14ac:dyDescent="0.25">
      <c r="A718" s="530">
        <v>227</v>
      </c>
      <c r="B718" s="384" t="s">
        <v>86</v>
      </c>
      <c r="C718" s="385">
        <f>C719</f>
        <v>157962</v>
      </c>
      <c r="D718" s="385">
        <f>D719</f>
        <v>157962</v>
      </c>
      <c r="E718" s="385">
        <f>E719</f>
        <v>612586.19999999995</v>
      </c>
      <c r="F718" s="385">
        <f>F719</f>
        <v>612586.19999999995</v>
      </c>
    </row>
    <row r="719" spans="1:6" s="155" customFormat="1" x14ac:dyDescent="0.25">
      <c r="A719" s="530"/>
      <c r="B719" s="387" t="s">
        <v>13</v>
      </c>
      <c r="C719" s="389">
        <v>157962</v>
      </c>
      <c r="D719" s="389">
        <v>157962</v>
      </c>
      <c r="E719" s="389">
        <f>C719+'2016'!E547+'2017'!E547+'2018'!E545</f>
        <v>612586.19999999995</v>
      </c>
      <c r="F719" s="389">
        <f>D719+'2016'!E547+'2017'!E547+'2018'!E545</f>
        <v>612586.19999999995</v>
      </c>
    </row>
    <row r="720" spans="1:6" ht="60" x14ac:dyDescent="0.25">
      <c r="A720" s="530">
        <v>228</v>
      </c>
      <c r="B720" s="384" t="s">
        <v>87</v>
      </c>
      <c r="C720" s="385">
        <f>C721</f>
        <v>9180</v>
      </c>
      <c r="D720" s="385">
        <f>D721</f>
        <v>9180</v>
      </c>
      <c r="E720" s="385">
        <f>E721</f>
        <v>36460</v>
      </c>
      <c r="F720" s="385">
        <f>F721</f>
        <v>36460</v>
      </c>
    </row>
    <row r="721" spans="1:6" s="155" customFormat="1" x14ac:dyDescent="0.25">
      <c r="A721" s="530"/>
      <c r="B721" s="387" t="s">
        <v>13</v>
      </c>
      <c r="C721" s="389">
        <v>9180</v>
      </c>
      <c r="D721" s="389">
        <v>9180</v>
      </c>
      <c r="E721" s="389">
        <f>C721+'2016'!E549+'2017'!E549+'2018'!E547</f>
        <v>36460</v>
      </c>
      <c r="F721" s="389">
        <f>D721+'2016'!E549+'2017'!E549+'2018'!E547</f>
        <v>36460</v>
      </c>
    </row>
    <row r="722" spans="1:6" x14ac:dyDescent="0.25">
      <c r="A722" s="530"/>
      <c r="B722" s="394" t="s">
        <v>54</v>
      </c>
      <c r="C722" s="395">
        <f>C717+C719+C721</f>
        <v>172742</v>
      </c>
      <c r="D722" s="395">
        <f>D717+D719+D721</f>
        <v>172742</v>
      </c>
      <c r="E722" s="395">
        <f>E717+E719+E721</f>
        <v>671246.2</v>
      </c>
      <c r="F722" s="395">
        <f>F717+F719+F721</f>
        <v>671246.2</v>
      </c>
    </row>
    <row r="723" spans="1:6" s="155" customFormat="1" x14ac:dyDescent="0.25">
      <c r="A723" s="530"/>
      <c r="B723" s="387" t="s">
        <v>13</v>
      </c>
      <c r="C723" s="389">
        <f>C717+C719+C721</f>
        <v>172742</v>
      </c>
      <c r="D723" s="389">
        <f>D717+D719+D721</f>
        <v>172742</v>
      </c>
      <c r="E723" s="389">
        <f>E717+E719+E721</f>
        <v>671246.2</v>
      </c>
      <c r="F723" s="389">
        <f>F717+F719+F721</f>
        <v>671246.2</v>
      </c>
    </row>
    <row r="724" spans="1:6" x14ac:dyDescent="0.25">
      <c r="A724" s="530"/>
      <c r="B724" s="387"/>
      <c r="C724" s="386"/>
      <c r="D724" s="386"/>
      <c r="E724" s="531"/>
      <c r="F724" s="531"/>
    </row>
    <row r="725" spans="1:6" x14ac:dyDescent="0.25">
      <c r="A725" s="564" t="s">
        <v>88</v>
      </c>
      <c r="B725" s="564"/>
      <c r="C725" s="564"/>
      <c r="D725" s="564"/>
      <c r="E725" s="564"/>
      <c r="F725" s="564"/>
    </row>
    <row r="726" spans="1:6" ht="120" x14ac:dyDescent="0.25">
      <c r="A726" s="530">
        <v>229</v>
      </c>
      <c r="B726" s="384" t="s">
        <v>89</v>
      </c>
      <c r="C726" s="385">
        <f>C727</f>
        <v>2250</v>
      </c>
      <c r="D726" s="385">
        <f>D727</f>
        <v>2250</v>
      </c>
      <c r="E726" s="385">
        <f>E727</f>
        <v>8900</v>
      </c>
      <c r="F726" s="385">
        <f>F727</f>
        <v>8900</v>
      </c>
    </row>
    <row r="727" spans="1:6" s="155" customFormat="1" x14ac:dyDescent="0.25">
      <c r="A727" s="530"/>
      <c r="B727" s="387" t="s">
        <v>13</v>
      </c>
      <c r="C727" s="389">
        <v>2250</v>
      </c>
      <c r="D727" s="389">
        <v>2250</v>
      </c>
      <c r="E727" s="389">
        <f>C727+'2016'!E555+'2017'!E555+'2018'!E553</f>
        <v>8900</v>
      </c>
      <c r="F727" s="389">
        <f>D727+'2016'!E555+'2017'!E555+'2018'!E553</f>
        <v>8900</v>
      </c>
    </row>
    <row r="728" spans="1:6" ht="75" x14ac:dyDescent="0.25">
      <c r="A728" s="530">
        <v>230</v>
      </c>
      <c r="B728" s="384" t="s">
        <v>90</v>
      </c>
      <c r="C728" s="385">
        <f>C729</f>
        <v>2430</v>
      </c>
      <c r="D728" s="385">
        <f>D729</f>
        <v>2430</v>
      </c>
      <c r="E728" s="385">
        <f>E729</f>
        <v>9660</v>
      </c>
      <c r="F728" s="385">
        <f>F729</f>
        <v>9660</v>
      </c>
    </row>
    <row r="729" spans="1:6" s="155" customFormat="1" x14ac:dyDescent="0.25">
      <c r="A729" s="530"/>
      <c r="B729" s="387" t="s">
        <v>13</v>
      </c>
      <c r="C729" s="389">
        <v>2430</v>
      </c>
      <c r="D729" s="389">
        <v>2430</v>
      </c>
      <c r="E729" s="389">
        <f>C729+'2016'!E557+'2017'!E557+'2018'!E555</f>
        <v>9660</v>
      </c>
      <c r="F729" s="389">
        <f>D729+'2016'!E557+'2017'!E557+'2018'!E555</f>
        <v>9660</v>
      </c>
    </row>
    <row r="730" spans="1:6" ht="90" x14ac:dyDescent="0.25">
      <c r="A730" s="530">
        <v>231</v>
      </c>
      <c r="B730" s="384" t="s">
        <v>91</v>
      </c>
      <c r="C730" s="385">
        <f>C731</f>
        <v>4935</v>
      </c>
      <c r="D730" s="385">
        <f>D731</f>
        <v>4935</v>
      </c>
      <c r="E730" s="385">
        <f>E731</f>
        <v>19886</v>
      </c>
      <c r="F730" s="385">
        <f>F731</f>
        <v>19886</v>
      </c>
    </row>
    <row r="731" spans="1:6" s="155" customFormat="1" x14ac:dyDescent="0.25">
      <c r="A731" s="530"/>
      <c r="B731" s="387" t="s">
        <v>13</v>
      </c>
      <c r="C731" s="389">
        <v>4935</v>
      </c>
      <c r="D731" s="389">
        <v>4935</v>
      </c>
      <c r="E731" s="389">
        <f>C731+'2016'!E559+'2017'!E559+'2018'!E557</f>
        <v>19886</v>
      </c>
      <c r="F731" s="389">
        <f>D731+'2016'!E559+'2017'!E559+'2018'!E557</f>
        <v>19886</v>
      </c>
    </row>
    <row r="732" spans="1:6" ht="75" x14ac:dyDescent="0.25">
      <c r="A732" s="530">
        <v>232</v>
      </c>
      <c r="B732" s="384" t="s">
        <v>93</v>
      </c>
      <c r="C732" s="385">
        <f>C733</f>
        <v>4849</v>
      </c>
      <c r="D732" s="385">
        <f>D733</f>
        <v>4849</v>
      </c>
      <c r="E732" s="385">
        <f>E733</f>
        <v>19515</v>
      </c>
      <c r="F732" s="385">
        <f>F733</f>
        <v>19515</v>
      </c>
    </row>
    <row r="733" spans="1:6" s="155" customFormat="1" x14ac:dyDescent="0.25">
      <c r="A733" s="530"/>
      <c r="B733" s="387" t="s">
        <v>13</v>
      </c>
      <c r="C733" s="389">
        <v>4849</v>
      </c>
      <c r="D733" s="389">
        <v>4849</v>
      </c>
      <c r="E733" s="389">
        <f>C733+'2016'!E561+'2017'!E561+'2018'!E559</f>
        <v>19515</v>
      </c>
      <c r="F733" s="389">
        <f>D733+'2016'!E561+'2017'!E561+'2018'!E559</f>
        <v>19515</v>
      </c>
    </row>
    <row r="734" spans="1:6" x14ac:dyDescent="0.25">
      <c r="A734" s="530"/>
      <c r="B734" s="394" t="s">
        <v>54</v>
      </c>
      <c r="C734" s="395">
        <f>C727+C729+C731+C733</f>
        <v>14464</v>
      </c>
      <c r="D734" s="395">
        <f>D727+D729+D731+D733</f>
        <v>14464</v>
      </c>
      <c r="E734" s="395">
        <f>E727+E729+E731+E733</f>
        <v>57961</v>
      </c>
      <c r="F734" s="395">
        <f>F727+F729+F731+F733</f>
        <v>57961</v>
      </c>
    </row>
    <row r="735" spans="1:6" s="155" customFormat="1" x14ac:dyDescent="0.25">
      <c r="A735" s="530"/>
      <c r="B735" s="387" t="s">
        <v>13</v>
      </c>
      <c r="C735" s="389">
        <f>C727+C729+C731+C733</f>
        <v>14464</v>
      </c>
      <c r="D735" s="389">
        <f>D727+D729+D731+D733</f>
        <v>14464</v>
      </c>
      <c r="E735" s="389">
        <f>E727+E729+E731+E733</f>
        <v>57961</v>
      </c>
      <c r="F735" s="389">
        <f>F727+F729+F731+F733</f>
        <v>57961</v>
      </c>
    </row>
    <row r="736" spans="1:6" x14ac:dyDescent="0.25">
      <c r="A736" s="564" t="s">
        <v>94</v>
      </c>
      <c r="B736" s="564"/>
      <c r="C736" s="564"/>
      <c r="D736" s="564"/>
      <c r="E736" s="564"/>
      <c r="F736" s="564"/>
    </row>
    <row r="737" spans="1:6" ht="45" x14ac:dyDescent="0.25">
      <c r="A737" s="530">
        <v>233</v>
      </c>
      <c r="B737" s="384" t="s">
        <v>95</v>
      </c>
      <c r="C737" s="385">
        <f>C738</f>
        <v>1200</v>
      </c>
      <c r="D737" s="385">
        <f>D738</f>
        <v>1200</v>
      </c>
      <c r="E737" s="385">
        <f>E738</f>
        <v>4670</v>
      </c>
      <c r="F737" s="385">
        <f>F738</f>
        <v>4670</v>
      </c>
    </row>
    <row r="738" spans="1:6" s="155" customFormat="1" x14ac:dyDescent="0.25">
      <c r="A738" s="530"/>
      <c r="B738" s="387" t="s">
        <v>13</v>
      </c>
      <c r="C738" s="389">
        <v>1200</v>
      </c>
      <c r="D738" s="389">
        <v>1200</v>
      </c>
      <c r="E738" s="389">
        <f>C738+'2016'!E566+'2017'!E566+'2018'!E564</f>
        <v>4670</v>
      </c>
      <c r="F738" s="389">
        <f>D738+'2016'!E566+'2017'!E566+'2018'!E564</f>
        <v>4670</v>
      </c>
    </row>
    <row r="739" spans="1:6" ht="105" x14ac:dyDescent="0.25">
      <c r="A739" s="530">
        <v>234</v>
      </c>
      <c r="B739" s="384" t="s">
        <v>96</v>
      </c>
      <c r="C739" s="385">
        <f>C740</f>
        <v>3900</v>
      </c>
      <c r="D739" s="385">
        <f>D740</f>
        <v>3900</v>
      </c>
      <c r="E739" s="385">
        <f>E740</f>
        <v>16900</v>
      </c>
      <c r="F739" s="385">
        <f>F740</f>
        <v>16900</v>
      </c>
    </row>
    <row r="740" spans="1:6" s="155" customFormat="1" x14ac:dyDescent="0.25">
      <c r="A740" s="530"/>
      <c r="B740" s="387" t="s">
        <v>13</v>
      </c>
      <c r="C740" s="389">
        <v>3900</v>
      </c>
      <c r="D740" s="389">
        <v>3900</v>
      </c>
      <c r="E740" s="389">
        <f>C740+'2016'!E568+'2017'!E568+'2018'!E566</f>
        <v>16900</v>
      </c>
      <c r="F740" s="389">
        <f>D740+'2016'!E568+'2017'!E568+'2018'!E566</f>
        <v>16900</v>
      </c>
    </row>
    <row r="741" spans="1:6" ht="90" x14ac:dyDescent="0.25">
      <c r="A741" s="530">
        <v>235</v>
      </c>
      <c r="B741" s="384" t="s">
        <v>97</v>
      </c>
      <c r="C741" s="385">
        <f>C742</f>
        <v>3708</v>
      </c>
      <c r="D741" s="385">
        <f>D742</f>
        <v>3708</v>
      </c>
      <c r="E741" s="385">
        <f>E742</f>
        <v>30824</v>
      </c>
      <c r="F741" s="385">
        <f>F742</f>
        <v>30824</v>
      </c>
    </row>
    <row r="742" spans="1:6" s="155" customFormat="1" x14ac:dyDescent="0.25">
      <c r="A742" s="530"/>
      <c r="B742" s="387" t="s">
        <v>13</v>
      </c>
      <c r="C742" s="389">
        <v>3708</v>
      </c>
      <c r="D742" s="389">
        <v>3708</v>
      </c>
      <c r="E742" s="389">
        <f>C742+'2016'!E570+'2017'!E570+'2018'!E568</f>
        <v>30824</v>
      </c>
      <c r="F742" s="389">
        <f>D742+'2016'!E570+'2017'!E570+'2018'!E568</f>
        <v>30824</v>
      </c>
    </row>
    <row r="743" spans="1:6" ht="49.5" customHeight="1" x14ac:dyDescent="0.25">
      <c r="A743" s="530">
        <v>236</v>
      </c>
      <c r="B743" s="384" t="s">
        <v>98</v>
      </c>
      <c r="C743" s="385">
        <f>C744</f>
        <v>10126</v>
      </c>
      <c r="D743" s="385">
        <f>D744</f>
        <v>10126</v>
      </c>
      <c r="E743" s="385">
        <f>E744</f>
        <v>83782</v>
      </c>
      <c r="F743" s="385">
        <f>F744</f>
        <v>83782</v>
      </c>
    </row>
    <row r="744" spans="1:6" s="155" customFormat="1" x14ac:dyDescent="0.25">
      <c r="A744" s="530"/>
      <c r="B744" s="387" t="s">
        <v>13</v>
      </c>
      <c r="C744" s="389">
        <v>10126</v>
      </c>
      <c r="D744" s="389">
        <v>10126</v>
      </c>
      <c r="E744" s="389">
        <f>C744+'2016'!E572+'2017'!E572+'2018'!E570</f>
        <v>83782</v>
      </c>
      <c r="F744" s="389">
        <f>D744+'2016'!E572+'2017'!E572+'2018'!E570</f>
        <v>83782</v>
      </c>
    </row>
    <row r="745" spans="1:6" s="155" customFormat="1" ht="60" x14ac:dyDescent="0.25">
      <c r="A745" s="530">
        <v>237</v>
      </c>
      <c r="B745" s="384" t="s">
        <v>300</v>
      </c>
      <c r="C745" s="385"/>
      <c r="D745" s="385"/>
      <c r="E745" s="385">
        <f>E746</f>
        <v>413616</v>
      </c>
      <c r="F745" s="385">
        <f>F746</f>
        <v>413616</v>
      </c>
    </row>
    <row r="746" spans="1:6" s="155" customFormat="1" x14ac:dyDescent="0.25">
      <c r="A746" s="530"/>
      <c r="B746" s="387" t="s">
        <v>13</v>
      </c>
      <c r="C746" s="389"/>
      <c r="D746" s="389"/>
      <c r="E746" s="389">
        <f>'2017'!E574+'2018'!E572</f>
        <v>413616</v>
      </c>
      <c r="F746" s="389">
        <f>D746+'2017'!E574+'2018'!E572</f>
        <v>413616</v>
      </c>
    </row>
    <row r="747" spans="1:6" x14ac:dyDescent="0.25">
      <c r="A747" s="530"/>
      <c r="B747" s="394" t="s">
        <v>54</v>
      </c>
      <c r="C747" s="395">
        <f t="shared" ref="C747:F748" si="11">C737+C739+C741+C743+C745</f>
        <v>18934</v>
      </c>
      <c r="D747" s="395">
        <f t="shared" si="11"/>
        <v>18934</v>
      </c>
      <c r="E747" s="395">
        <f t="shared" si="11"/>
        <v>549792</v>
      </c>
      <c r="F747" s="395">
        <f t="shared" si="11"/>
        <v>549792</v>
      </c>
    </row>
    <row r="748" spans="1:6" s="155" customFormat="1" x14ac:dyDescent="0.25">
      <c r="A748" s="530"/>
      <c r="B748" s="387" t="s">
        <v>13</v>
      </c>
      <c r="C748" s="389">
        <f t="shared" si="11"/>
        <v>18934</v>
      </c>
      <c r="D748" s="389">
        <f t="shared" si="11"/>
        <v>18934</v>
      </c>
      <c r="E748" s="389">
        <f t="shared" si="11"/>
        <v>549792</v>
      </c>
      <c r="F748" s="389">
        <f t="shared" si="11"/>
        <v>549792</v>
      </c>
    </row>
    <row r="749" spans="1:6" x14ac:dyDescent="0.25">
      <c r="A749" s="564" t="s">
        <v>99</v>
      </c>
      <c r="B749" s="564"/>
      <c r="C749" s="564"/>
      <c r="D749" s="564"/>
      <c r="E749" s="564"/>
      <c r="F749" s="564"/>
    </row>
    <row r="750" spans="1:6" ht="45" x14ac:dyDescent="0.25">
      <c r="A750" s="530">
        <v>238</v>
      </c>
      <c r="B750" s="384" t="s">
        <v>100</v>
      </c>
      <c r="C750" s="385">
        <f>C751</f>
        <v>4200</v>
      </c>
      <c r="D750" s="385">
        <f>D751</f>
        <v>4200</v>
      </c>
      <c r="E750" s="385">
        <f>E751</f>
        <v>14830</v>
      </c>
      <c r="F750" s="385">
        <f>F751</f>
        <v>14830</v>
      </c>
    </row>
    <row r="751" spans="1:6" s="155" customFormat="1" x14ac:dyDescent="0.25">
      <c r="A751" s="530"/>
      <c r="B751" s="387" t="s">
        <v>13</v>
      </c>
      <c r="C751" s="389">
        <v>4200</v>
      </c>
      <c r="D751" s="389">
        <v>4200</v>
      </c>
      <c r="E751" s="389">
        <f>C751+'2016'!E577+'2017'!E579+'2018'!E577</f>
        <v>14830</v>
      </c>
      <c r="F751" s="389">
        <f>D751+'2016'!F577+'2017'!F579+'2018'!F577</f>
        <v>14830</v>
      </c>
    </row>
    <row r="752" spans="1:6" x14ac:dyDescent="0.25">
      <c r="A752" s="530"/>
      <c r="B752" s="394" t="s">
        <v>54</v>
      </c>
      <c r="C752" s="395">
        <f>C753</f>
        <v>4200</v>
      </c>
      <c r="D752" s="395">
        <f>D753</f>
        <v>4200</v>
      </c>
      <c r="E752" s="395">
        <f>E753</f>
        <v>14830</v>
      </c>
      <c r="F752" s="395">
        <f>F753</f>
        <v>14830</v>
      </c>
    </row>
    <row r="753" spans="1:6" s="155" customFormat="1" x14ac:dyDescent="0.25">
      <c r="A753" s="530"/>
      <c r="B753" s="387" t="s">
        <v>13</v>
      </c>
      <c r="C753" s="389">
        <v>4200</v>
      </c>
      <c r="D753" s="389">
        <f>D751</f>
        <v>4200</v>
      </c>
      <c r="E753" s="389">
        <f>E751</f>
        <v>14830</v>
      </c>
      <c r="F753" s="389">
        <f>F751</f>
        <v>14830</v>
      </c>
    </row>
    <row r="754" spans="1:6" s="155" customFormat="1" x14ac:dyDescent="0.25">
      <c r="A754" s="564" t="s">
        <v>592</v>
      </c>
      <c r="B754" s="564"/>
      <c r="C754" s="564"/>
      <c r="D754" s="564"/>
      <c r="E754" s="564"/>
      <c r="F754" s="564"/>
    </row>
    <row r="755" spans="1:6" s="155" customFormat="1" ht="45" x14ac:dyDescent="0.25">
      <c r="A755" s="530">
        <v>239</v>
      </c>
      <c r="B755" s="384" t="s">
        <v>593</v>
      </c>
      <c r="C755" s="385">
        <f>C756</f>
        <v>9400</v>
      </c>
      <c r="D755" s="385">
        <f>D756</f>
        <v>0</v>
      </c>
      <c r="E755" s="385">
        <f>E756</f>
        <v>23462</v>
      </c>
      <c r="F755" s="385">
        <f>F756</f>
        <v>14062</v>
      </c>
    </row>
    <row r="756" spans="1:6" s="155" customFormat="1" x14ac:dyDescent="0.25">
      <c r="A756" s="530"/>
      <c r="B756" s="387" t="s">
        <v>13</v>
      </c>
      <c r="C756" s="389">
        <v>9400</v>
      </c>
      <c r="D756" s="389"/>
      <c r="E756" s="389">
        <f>C756+'2016'!E582+'2017'!E584</f>
        <v>23462</v>
      </c>
      <c r="F756" s="389">
        <f>D756+'2016'!E582+'2017'!E584</f>
        <v>14062</v>
      </c>
    </row>
    <row r="757" spans="1:6" s="155" customFormat="1" ht="45" x14ac:dyDescent="0.25">
      <c r="A757" s="530">
        <v>240</v>
      </c>
      <c r="B757" s="384" t="s">
        <v>594</v>
      </c>
      <c r="C757" s="385">
        <f>C758</f>
        <v>8800</v>
      </c>
      <c r="D757" s="385">
        <f>D758</f>
        <v>0</v>
      </c>
      <c r="E757" s="385">
        <f>E758</f>
        <v>21862.1</v>
      </c>
      <c r="F757" s="385">
        <f>F758</f>
        <v>13062.1</v>
      </c>
    </row>
    <row r="758" spans="1:6" s="155" customFormat="1" x14ac:dyDescent="0.25">
      <c r="A758" s="530"/>
      <c r="B758" s="387" t="s">
        <v>13</v>
      </c>
      <c r="C758" s="389">
        <v>8800</v>
      </c>
      <c r="D758" s="389"/>
      <c r="E758" s="389">
        <f>C758+'2016'!E584+'2017'!E586</f>
        <v>21862.1</v>
      </c>
      <c r="F758" s="389">
        <f>D758+'2016'!E584+'2017'!E586</f>
        <v>13062.1</v>
      </c>
    </row>
    <row r="759" spans="1:6" s="155" customFormat="1" x14ac:dyDescent="0.25">
      <c r="A759" s="530"/>
      <c r="B759" s="394" t="s">
        <v>54</v>
      </c>
      <c r="C759" s="395">
        <f>C760</f>
        <v>18200</v>
      </c>
      <c r="D759" s="395">
        <f>D760</f>
        <v>0</v>
      </c>
      <c r="E759" s="395">
        <f>E760</f>
        <v>45324.1</v>
      </c>
      <c r="F759" s="395">
        <f>F760</f>
        <v>27124.1</v>
      </c>
    </row>
    <row r="760" spans="1:6" s="155" customFormat="1" x14ac:dyDescent="0.25">
      <c r="A760" s="530"/>
      <c r="B760" s="387" t="s">
        <v>13</v>
      </c>
      <c r="C760" s="389">
        <f>C758+C756</f>
        <v>18200</v>
      </c>
      <c r="D760" s="389">
        <f>D758+D756</f>
        <v>0</v>
      </c>
      <c r="E760" s="389">
        <f>E758+E756</f>
        <v>45324.1</v>
      </c>
      <c r="F760" s="389">
        <f>F758+F756</f>
        <v>27124.1</v>
      </c>
    </row>
    <row r="761" spans="1:6" x14ac:dyDescent="0.25">
      <c r="A761" s="564" t="s">
        <v>105</v>
      </c>
      <c r="B761" s="564"/>
      <c r="C761" s="564"/>
      <c r="D761" s="564"/>
      <c r="E761" s="564"/>
      <c r="F761" s="564"/>
    </row>
    <row r="762" spans="1:6" ht="30" x14ac:dyDescent="0.25">
      <c r="A762" s="530">
        <v>241</v>
      </c>
      <c r="B762" s="384" t="s">
        <v>106</v>
      </c>
      <c r="C762" s="385">
        <f>C763</f>
        <v>23220</v>
      </c>
      <c r="D762" s="385">
        <f>D763</f>
        <v>23220</v>
      </c>
      <c r="E762" s="385">
        <f>E763</f>
        <v>89971.4</v>
      </c>
      <c r="F762" s="385">
        <f>F763</f>
        <v>89971.4</v>
      </c>
    </row>
    <row r="763" spans="1:6" s="155" customFormat="1" x14ac:dyDescent="0.25">
      <c r="A763" s="530"/>
      <c r="B763" s="387" t="s">
        <v>13</v>
      </c>
      <c r="C763" s="389">
        <v>23220</v>
      </c>
      <c r="D763" s="389">
        <v>23220</v>
      </c>
      <c r="E763" s="389">
        <f>C763+'2016'!E589+'2017'!E591+'2018'!E582</f>
        <v>89971.4</v>
      </c>
      <c r="F763" s="389">
        <f>D763+'2016'!F589+'2017'!F591+'2018'!F582</f>
        <v>89971.4</v>
      </c>
    </row>
    <row r="764" spans="1:6" x14ac:dyDescent="0.25">
      <c r="A764" s="530"/>
      <c r="B764" s="394" t="s">
        <v>54</v>
      </c>
      <c r="C764" s="395">
        <f>C765</f>
        <v>23220</v>
      </c>
      <c r="D764" s="395">
        <f>D765</f>
        <v>23220</v>
      </c>
      <c r="E764" s="395">
        <f>E765</f>
        <v>89971.4</v>
      </c>
      <c r="F764" s="395">
        <f>F765</f>
        <v>89971.4</v>
      </c>
    </row>
    <row r="765" spans="1:6" s="155" customFormat="1" x14ac:dyDescent="0.25">
      <c r="A765" s="530"/>
      <c r="B765" s="387" t="s">
        <v>13</v>
      </c>
      <c r="C765" s="389">
        <f>C763</f>
        <v>23220</v>
      </c>
      <c r="D765" s="389">
        <f>D763</f>
        <v>23220</v>
      </c>
      <c r="E765" s="389">
        <f>E763</f>
        <v>89971.4</v>
      </c>
      <c r="F765" s="389">
        <f>F763</f>
        <v>89971.4</v>
      </c>
    </row>
    <row r="766" spans="1:6" x14ac:dyDescent="0.25">
      <c r="A766" s="564" t="s">
        <v>107</v>
      </c>
      <c r="B766" s="564"/>
      <c r="C766" s="564"/>
      <c r="D766" s="564"/>
      <c r="E766" s="564"/>
      <c r="F766" s="564"/>
    </row>
    <row r="767" spans="1:6" ht="45" x14ac:dyDescent="0.25">
      <c r="A767" s="530">
        <v>242</v>
      </c>
      <c r="B767" s="384" t="s">
        <v>108</v>
      </c>
      <c r="C767" s="385">
        <f>C768+C769</f>
        <v>9000</v>
      </c>
      <c r="D767" s="385">
        <f>D768+D769</f>
        <v>9000</v>
      </c>
      <c r="E767" s="385">
        <f>E768+E769</f>
        <v>31930</v>
      </c>
      <c r="F767" s="385">
        <f>F768+F769</f>
        <v>31930</v>
      </c>
    </row>
    <row r="768" spans="1:6" s="155" customFormat="1" x14ac:dyDescent="0.25">
      <c r="A768" s="530"/>
      <c r="B768" s="387" t="s">
        <v>13</v>
      </c>
      <c r="C768" s="389">
        <v>6500</v>
      </c>
      <c r="D768" s="389">
        <v>6500</v>
      </c>
      <c r="E768" s="389">
        <f>C768+'2016'!E594+'2017'!E596+'2018'!E587</f>
        <v>21930</v>
      </c>
      <c r="F768" s="389">
        <f>D768+'2016'!E594+'2017'!E596+'2018'!E587</f>
        <v>21930</v>
      </c>
    </row>
    <row r="769" spans="1:6" s="155" customFormat="1" x14ac:dyDescent="0.25">
      <c r="A769" s="530"/>
      <c r="B769" s="387" t="s">
        <v>139</v>
      </c>
      <c r="C769" s="389">
        <v>2500</v>
      </c>
      <c r="D769" s="389">
        <v>2500</v>
      </c>
      <c r="E769" s="389">
        <f>C769+'2016'!E595+'2017'!E597+'2018'!E588</f>
        <v>10000</v>
      </c>
      <c r="F769" s="389">
        <f>D769+'2016'!F595+'2017'!F597+'2018'!F588</f>
        <v>10000</v>
      </c>
    </row>
    <row r="770" spans="1:6" ht="45" x14ac:dyDescent="0.25">
      <c r="A770" s="530">
        <v>243</v>
      </c>
      <c r="B770" s="384" t="s">
        <v>109</v>
      </c>
      <c r="C770" s="385">
        <f>C771+C772</f>
        <v>8400</v>
      </c>
      <c r="D770" s="385">
        <f>D771+D772</f>
        <v>8400</v>
      </c>
      <c r="E770" s="385">
        <f>E771+E772</f>
        <v>30130</v>
      </c>
      <c r="F770" s="385">
        <f>F771+F772</f>
        <v>30130</v>
      </c>
    </row>
    <row r="771" spans="1:6" s="155" customFormat="1" x14ac:dyDescent="0.25">
      <c r="A771" s="530"/>
      <c r="B771" s="387" t="s">
        <v>13</v>
      </c>
      <c r="C771" s="389">
        <v>5900</v>
      </c>
      <c r="D771" s="389">
        <v>5900</v>
      </c>
      <c r="E771" s="389">
        <f>C771+'2016'!E597+'2017'!E599+'2018'!E590</f>
        <v>20130</v>
      </c>
      <c r="F771" s="389">
        <f>D771+'2016'!E597+'2017'!E599+'2018'!E590</f>
        <v>20130</v>
      </c>
    </row>
    <row r="772" spans="1:6" s="155" customFormat="1" x14ac:dyDescent="0.25">
      <c r="A772" s="530"/>
      <c r="B772" s="387" t="s">
        <v>139</v>
      </c>
      <c r="C772" s="389">
        <v>2500</v>
      </c>
      <c r="D772" s="389">
        <v>2500</v>
      </c>
      <c r="E772" s="389">
        <f>C772+'2016'!E598+'2017'!E600+'2018'!E591</f>
        <v>10000</v>
      </c>
      <c r="F772" s="389">
        <f>D772+'2016'!F598+'2017'!F600+'2018'!F591</f>
        <v>10000</v>
      </c>
    </row>
    <row r="773" spans="1:6" ht="90" x14ac:dyDescent="0.25">
      <c r="A773" s="530">
        <v>244</v>
      </c>
      <c r="B773" s="384" t="s">
        <v>110</v>
      </c>
      <c r="C773" s="385">
        <f>C774+C775</f>
        <v>13500</v>
      </c>
      <c r="D773" s="385">
        <f>D774+D775</f>
        <v>13500</v>
      </c>
      <c r="E773" s="385">
        <f>E774+E775</f>
        <v>47970</v>
      </c>
      <c r="F773" s="385">
        <f>F774+F775</f>
        <v>47970</v>
      </c>
    </row>
    <row r="774" spans="1:6" s="155" customFormat="1" x14ac:dyDescent="0.25">
      <c r="A774" s="530"/>
      <c r="B774" s="387" t="s">
        <v>13</v>
      </c>
      <c r="C774" s="389">
        <v>8500</v>
      </c>
      <c r="D774" s="389">
        <v>8500</v>
      </c>
      <c r="E774" s="389">
        <f>C774+'2016'!E600+'2017'!E602+'2018'!E593</f>
        <v>28970</v>
      </c>
      <c r="F774" s="389">
        <f>D774+'2016'!E600+'2017'!E602+'2018'!E593</f>
        <v>28970</v>
      </c>
    </row>
    <row r="775" spans="1:6" s="155" customFormat="1" x14ac:dyDescent="0.25">
      <c r="A775" s="530"/>
      <c r="B775" s="387" t="s">
        <v>139</v>
      </c>
      <c r="C775" s="389">
        <v>5000</v>
      </c>
      <c r="D775" s="389">
        <v>5000</v>
      </c>
      <c r="E775" s="389">
        <f>C775+'2016'!E601+'2017'!E603+'2018'!E594</f>
        <v>19000</v>
      </c>
      <c r="F775" s="389">
        <f>D775+'2016'!F601+'2017'!F603+'2018'!F594</f>
        <v>19000</v>
      </c>
    </row>
    <row r="776" spans="1:6" ht="45" x14ac:dyDescent="0.25">
      <c r="A776" s="530">
        <v>245</v>
      </c>
      <c r="B776" s="384" t="s">
        <v>500</v>
      </c>
      <c r="C776" s="385">
        <f>C777</f>
        <v>5700</v>
      </c>
      <c r="D776" s="385">
        <f>D777</f>
        <v>5700</v>
      </c>
      <c r="E776" s="385">
        <f>E777</f>
        <v>18700</v>
      </c>
      <c r="F776" s="385">
        <f>F777</f>
        <v>18700</v>
      </c>
    </row>
    <row r="777" spans="1:6" s="155" customFormat="1" x14ac:dyDescent="0.25">
      <c r="A777" s="530"/>
      <c r="B777" s="387" t="s">
        <v>13</v>
      </c>
      <c r="C777" s="389">
        <v>5700</v>
      </c>
      <c r="D777" s="389">
        <v>5700</v>
      </c>
      <c r="E777" s="389">
        <f>C777+'2016'!E603+'2017'!E605+'2018'!E596</f>
        <v>18700</v>
      </c>
      <c r="F777" s="389">
        <f>D777+'2016'!E603+'2017'!E605+'2018'!E596</f>
        <v>18700</v>
      </c>
    </row>
    <row r="778" spans="1:6" ht="75" x14ac:dyDescent="0.25">
      <c r="A778" s="530">
        <v>246</v>
      </c>
      <c r="B778" s="384" t="s">
        <v>112</v>
      </c>
      <c r="C778" s="385">
        <f>C779+C780</f>
        <v>12000</v>
      </c>
      <c r="D778" s="385">
        <f>D779+D780</f>
        <v>12000</v>
      </c>
      <c r="E778" s="385">
        <f>E779+E780</f>
        <v>42840</v>
      </c>
      <c r="F778" s="385">
        <f>F779+F780</f>
        <v>42840</v>
      </c>
    </row>
    <row r="779" spans="1:6" s="155" customFormat="1" x14ac:dyDescent="0.25">
      <c r="A779" s="530"/>
      <c r="B779" s="387" t="s">
        <v>13</v>
      </c>
      <c r="C779" s="389">
        <v>7000</v>
      </c>
      <c r="D779" s="389">
        <v>7000</v>
      </c>
      <c r="E779" s="389">
        <f>C779+'2016'!E605+'2017'!E607+'2018'!E598</f>
        <v>23840</v>
      </c>
      <c r="F779" s="389">
        <f>D779+'2016'!E605+'2017'!E607+'2018'!E598</f>
        <v>23840</v>
      </c>
    </row>
    <row r="780" spans="1:6" s="155" customFormat="1" x14ac:dyDescent="0.25">
      <c r="A780" s="530"/>
      <c r="B780" s="387" t="s">
        <v>139</v>
      </c>
      <c r="C780" s="389">
        <v>5000</v>
      </c>
      <c r="D780" s="389">
        <v>5000</v>
      </c>
      <c r="E780" s="389">
        <f>C780+'2016'!E606+'2017'!E608+'2018'!E599</f>
        <v>19000</v>
      </c>
      <c r="F780" s="389">
        <f>D780+'2016'!F606+'2017'!F608+'2018'!F599</f>
        <v>19000</v>
      </c>
    </row>
    <row r="781" spans="1:6" ht="90" x14ac:dyDescent="0.25">
      <c r="A781" s="530">
        <v>247</v>
      </c>
      <c r="B781" s="384" t="s">
        <v>113</v>
      </c>
      <c r="C781" s="385">
        <f>C782</f>
        <v>9200</v>
      </c>
      <c r="D781" s="385">
        <f>D782</f>
        <v>9200</v>
      </c>
      <c r="E781" s="385">
        <f>E782</f>
        <v>30560</v>
      </c>
      <c r="F781" s="385">
        <f>F782</f>
        <v>30560</v>
      </c>
    </row>
    <row r="782" spans="1:6" s="155" customFormat="1" x14ac:dyDescent="0.25">
      <c r="A782" s="530"/>
      <c r="B782" s="387" t="s">
        <v>13</v>
      </c>
      <c r="C782" s="389">
        <v>9200</v>
      </c>
      <c r="D782" s="389">
        <v>9200</v>
      </c>
      <c r="E782" s="389">
        <f>C782+'2016'!E608+'2017'!E610+'2018'!E601</f>
        <v>30560</v>
      </c>
      <c r="F782" s="389">
        <f>D782+'2016'!E608+'2017'!E610+'2018'!E601</f>
        <v>30560</v>
      </c>
    </row>
    <row r="783" spans="1:6" s="155" customFormat="1" ht="60" x14ac:dyDescent="0.25">
      <c r="A783" s="530">
        <v>248</v>
      </c>
      <c r="B783" s="384" t="s">
        <v>501</v>
      </c>
      <c r="C783" s="385"/>
      <c r="D783" s="385"/>
      <c r="E783" s="385">
        <f>E784</f>
        <v>11500</v>
      </c>
      <c r="F783" s="385">
        <f>F784</f>
        <v>11500</v>
      </c>
    </row>
    <row r="784" spans="1:6" s="155" customFormat="1" x14ac:dyDescent="0.25">
      <c r="A784" s="530"/>
      <c r="B784" s="387" t="s">
        <v>139</v>
      </c>
      <c r="C784" s="389"/>
      <c r="D784" s="389"/>
      <c r="E784" s="389">
        <f>'2018'!E603</f>
        <v>11500</v>
      </c>
      <c r="F784" s="389">
        <f>'2018'!F603</f>
        <v>11500</v>
      </c>
    </row>
    <row r="785" spans="1:6" s="155" customFormat="1" ht="30" x14ac:dyDescent="0.25">
      <c r="A785" s="530">
        <v>249</v>
      </c>
      <c r="B785" s="384" t="s">
        <v>301</v>
      </c>
      <c r="C785" s="385">
        <f>C786+C787</f>
        <v>5000</v>
      </c>
      <c r="D785" s="385">
        <f>D786+D787</f>
        <v>5000</v>
      </c>
      <c r="E785" s="385">
        <f>E786+E787</f>
        <v>15000</v>
      </c>
      <c r="F785" s="385">
        <f>F786+F787</f>
        <v>15000</v>
      </c>
    </row>
    <row r="786" spans="1:6" s="155" customFormat="1" x14ac:dyDescent="0.25">
      <c r="A786" s="530"/>
      <c r="B786" s="387" t="s">
        <v>13</v>
      </c>
      <c r="C786" s="389">
        <v>5000</v>
      </c>
      <c r="D786" s="389">
        <v>5000</v>
      </c>
      <c r="E786" s="389">
        <v>5000</v>
      </c>
      <c r="F786" s="389">
        <v>5000</v>
      </c>
    </row>
    <row r="787" spans="1:6" s="155" customFormat="1" x14ac:dyDescent="0.25">
      <c r="A787" s="530"/>
      <c r="B787" s="387" t="s">
        <v>139</v>
      </c>
      <c r="C787" s="389"/>
      <c r="D787" s="389"/>
      <c r="E787" s="389">
        <f>C787+'2017'!E612+'2018'!E605</f>
        <v>10000</v>
      </c>
      <c r="F787" s="389">
        <f>D787+'2017'!F612+'2018'!F605</f>
        <v>10000</v>
      </c>
    </row>
    <row r="788" spans="1:6" x14ac:dyDescent="0.25">
      <c r="A788" s="530"/>
      <c r="B788" s="394" t="s">
        <v>54</v>
      </c>
      <c r="C788" s="395">
        <f>C789+C790</f>
        <v>62800</v>
      </c>
      <c r="D788" s="395">
        <f>D789+D790</f>
        <v>62800</v>
      </c>
      <c r="E788" s="395">
        <f>E789+E790</f>
        <v>228630</v>
      </c>
      <c r="F788" s="395">
        <f>F789+F790</f>
        <v>228630</v>
      </c>
    </row>
    <row r="789" spans="1:6" s="155" customFormat="1" x14ac:dyDescent="0.25">
      <c r="A789" s="530"/>
      <c r="B789" s="387" t="s">
        <v>13</v>
      </c>
      <c r="C789" s="389">
        <f>C768+C771+C774+C777+C779+C782+C786</f>
        <v>47800</v>
      </c>
      <c r="D789" s="389">
        <f>D768+D771+D774+D777+D779+D782+D786</f>
        <v>47800</v>
      </c>
      <c r="E789" s="389">
        <f>E768+E771+E774+E777+E779+E782+E786</f>
        <v>149130</v>
      </c>
      <c r="F789" s="389">
        <f>F768+F771+F774+F777+F779+F782+F786</f>
        <v>149130</v>
      </c>
    </row>
    <row r="790" spans="1:6" s="155" customFormat="1" x14ac:dyDescent="0.25">
      <c r="A790" s="530"/>
      <c r="B790" s="387" t="s">
        <v>139</v>
      </c>
      <c r="C790" s="389">
        <f>C769+C772+C775+C780+C784+C787</f>
        <v>15000</v>
      </c>
      <c r="D790" s="389">
        <f>D769+D772+D775+D780+D784+D787</f>
        <v>15000</v>
      </c>
      <c r="E790" s="389">
        <f>E769+E772+E775+E780+E784+E787</f>
        <v>79500</v>
      </c>
      <c r="F790" s="389">
        <f>F769+F772+F775+F780+F784+F787</f>
        <v>79500</v>
      </c>
    </row>
    <row r="791" spans="1:6" x14ac:dyDescent="0.25">
      <c r="A791" s="564" t="s">
        <v>114</v>
      </c>
      <c r="B791" s="564"/>
      <c r="C791" s="564"/>
      <c r="D791" s="564"/>
      <c r="E791" s="564"/>
      <c r="F791" s="564"/>
    </row>
    <row r="792" spans="1:6" ht="45" x14ac:dyDescent="0.25">
      <c r="A792" s="530">
        <v>250</v>
      </c>
      <c r="B792" s="384" t="s">
        <v>115</v>
      </c>
      <c r="C792" s="385">
        <f>C793</f>
        <v>3000</v>
      </c>
      <c r="D792" s="385">
        <f>D793</f>
        <v>3000</v>
      </c>
      <c r="E792" s="385">
        <f>E793</f>
        <v>10160</v>
      </c>
      <c r="F792" s="385">
        <f>F793</f>
        <v>10160</v>
      </c>
    </row>
    <row r="793" spans="1:6" s="155" customFormat="1" x14ac:dyDescent="0.25">
      <c r="A793" s="530"/>
      <c r="B793" s="387" t="s">
        <v>13</v>
      </c>
      <c r="C793" s="389">
        <v>3000</v>
      </c>
      <c r="D793" s="389">
        <v>3000</v>
      </c>
      <c r="E793" s="389">
        <f>C793+'2016'!E615+'2017'!E619+'2018'!E612</f>
        <v>10160</v>
      </c>
      <c r="F793" s="389">
        <f>D793+'2016'!F615+'2017'!F619+'2018'!F612</f>
        <v>10160</v>
      </c>
    </row>
    <row r="794" spans="1:6" ht="45" x14ac:dyDescent="0.25">
      <c r="A794" s="530">
        <v>251</v>
      </c>
      <c r="B794" s="384" t="s">
        <v>116</v>
      </c>
      <c r="C794" s="385">
        <f>C795</f>
        <v>3000</v>
      </c>
      <c r="D794" s="385">
        <f>D795</f>
        <v>3000</v>
      </c>
      <c r="E794" s="385">
        <f>E795</f>
        <v>10160</v>
      </c>
      <c r="F794" s="385">
        <f>F795</f>
        <v>10160</v>
      </c>
    </row>
    <row r="795" spans="1:6" s="155" customFormat="1" x14ac:dyDescent="0.25">
      <c r="A795" s="530"/>
      <c r="B795" s="387" t="s">
        <v>13</v>
      </c>
      <c r="C795" s="389">
        <v>3000</v>
      </c>
      <c r="D795" s="389">
        <v>3000</v>
      </c>
      <c r="E795" s="389">
        <f>C795+'2016'!E617+'2017'!E621+'2018'!E614</f>
        <v>10160</v>
      </c>
      <c r="F795" s="389">
        <f>D795+'2016'!F617+'2017'!F621+'2018'!F614</f>
        <v>10160</v>
      </c>
    </row>
    <row r="796" spans="1:6" ht="60" x14ac:dyDescent="0.25">
      <c r="A796" s="530">
        <v>252</v>
      </c>
      <c r="B796" s="384" t="s">
        <v>117</v>
      </c>
      <c r="C796" s="385">
        <f>C797</f>
        <v>7000</v>
      </c>
      <c r="D796" s="385">
        <f>D797</f>
        <v>7000</v>
      </c>
      <c r="E796" s="385">
        <f>E797</f>
        <v>24040</v>
      </c>
      <c r="F796" s="385">
        <f>F797</f>
        <v>24040</v>
      </c>
    </row>
    <row r="797" spans="1:6" s="155" customFormat="1" x14ac:dyDescent="0.25">
      <c r="A797" s="530"/>
      <c r="B797" s="387" t="s">
        <v>13</v>
      </c>
      <c r="C797" s="389">
        <v>7000</v>
      </c>
      <c r="D797" s="389">
        <v>7000</v>
      </c>
      <c r="E797" s="389">
        <f>C797+'2016'!E619+'2017'!E623+'2018'!E616</f>
        <v>24040</v>
      </c>
      <c r="F797" s="389">
        <f>D797+'2016'!F619+'2017'!F623+'2018'!F616</f>
        <v>24040</v>
      </c>
    </row>
    <row r="798" spans="1:6" ht="60" x14ac:dyDescent="0.25">
      <c r="A798" s="530">
        <v>253</v>
      </c>
      <c r="B798" s="384" t="s">
        <v>118</v>
      </c>
      <c r="C798" s="385">
        <f>C799</f>
        <v>3700</v>
      </c>
      <c r="D798" s="385">
        <f>D799</f>
        <v>3700</v>
      </c>
      <c r="E798" s="385">
        <f>E799</f>
        <v>12730</v>
      </c>
      <c r="F798" s="385">
        <f>F799</f>
        <v>12730</v>
      </c>
    </row>
    <row r="799" spans="1:6" s="155" customFormat="1" x14ac:dyDescent="0.25">
      <c r="A799" s="530"/>
      <c r="B799" s="387" t="s">
        <v>13</v>
      </c>
      <c r="C799" s="389">
        <v>3700</v>
      </c>
      <c r="D799" s="389">
        <v>3700</v>
      </c>
      <c r="E799" s="389">
        <f>C799+'2016'!E621+'2017'!E625+'2018'!E618</f>
        <v>12730</v>
      </c>
      <c r="F799" s="389">
        <f>D799+'2016'!F621+'2017'!F625+'2018'!F618</f>
        <v>12730</v>
      </c>
    </row>
    <row r="800" spans="1:6" ht="45" x14ac:dyDescent="0.25">
      <c r="A800" s="530">
        <v>254</v>
      </c>
      <c r="B800" s="384" t="s">
        <v>119</v>
      </c>
      <c r="C800" s="385">
        <f>C801</f>
        <v>3700</v>
      </c>
      <c r="D800" s="385">
        <f>D801</f>
        <v>3700</v>
      </c>
      <c r="E800" s="385">
        <f>E801</f>
        <v>12730</v>
      </c>
      <c r="F800" s="385">
        <f>F801</f>
        <v>12730</v>
      </c>
    </row>
    <row r="801" spans="1:6" s="155" customFormat="1" x14ac:dyDescent="0.25">
      <c r="A801" s="530"/>
      <c r="B801" s="387" t="s">
        <v>13</v>
      </c>
      <c r="C801" s="389">
        <v>3700</v>
      </c>
      <c r="D801" s="389">
        <v>3700</v>
      </c>
      <c r="E801" s="389">
        <f>C801+'2016'!E623+'2017'!E627+'2018'!E620</f>
        <v>12730</v>
      </c>
      <c r="F801" s="389">
        <f>D801+'2016'!F623+'2017'!F627+'2018'!F620</f>
        <v>12730</v>
      </c>
    </row>
    <row r="802" spans="1:6" s="155" customFormat="1" ht="60" x14ac:dyDescent="0.25">
      <c r="A802" s="530">
        <v>255</v>
      </c>
      <c r="B802" s="384" t="s">
        <v>502</v>
      </c>
      <c r="C802" s="385">
        <f>C803</f>
        <v>2700</v>
      </c>
      <c r="D802" s="385">
        <f>D803</f>
        <v>2700</v>
      </c>
      <c r="E802" s="385">
        <f>E803</f>
        <v>4720</v>
      </c>
      <c r="F802" s="385">
        <f>F803</f>
        <v>4720</v>
      </c>
    </row>
    <row r="803" spans="1:6" s="155" customFormat="1" x14ac:dyDescent="0.25">
      <c r="A803" s="530"/>
      <c r="B803" s="387" t="s">
        <v>13</v>
      </c>
      <c r="C803" s="389">
        <v>2700</v>
      </c>
      <c r="D803" s="389">
        <v>2700</v>
      </c>
      <c r="E803" s="389">
        <f>C803+'2018'!E622</f>
        <v>4720</v>
      </c>
      <c r="F803" s="389">
        <f>D803+'2018'!F622</f>
        <v>4720</v>
      </c>
    </row>
    <row r="804" spans="1:6" ht="67.5" customHeight="1" x14ac:dyDescent="0.25">
      <c r="A804" s="530">
        <v>256</v>
      </c>
      <c r="B804" s="384" t="s">
        <v>120</v>
      </c>
      <c r="C804" s="385">
        <f>C805</f>
        <v>3000</v>
      </c>
      <c r="D804" s="385">
        <f>D805</f>
        <v>3000</v>
      </c>
      <c r="E804" s="385">
        <f>E805</f>
        <v>10160</v>
      </c>
      <c r="F804" s="385">
        <f>F805</f>
        <v>10160</v>
      </c>
    </row>
    <row r="805" spans="1:6" s="155" customFormat="1" x14ac:dyDescent="0.25">
      <c r="A805" s="530"/>
      <c r="B805" s="387" t="s">
        <v>13</v>
      </c>
      <c r="C805" s="389">
        <v>3000</v>
      </c>
      <c r="D805" s="389">
        <v>3000</v>
      </c>
      <c r="E805" s="389">
        <f>C805+'2016'!E625+'2017'!E629+'2018'!E624</f>
        <v>10160</v>
      </c>
      <c r="F805" s="389">
        <f>D805+'2016'!F625+'2017'!F629+'2018'!F624</f>
        <v>10160</v>
      </c>
    </row>
    <row r="806" spans="1:6" s="155" customFormat="1" ht="30" x14ac:dyDescent="0.25">
      <c r="A806" s="530">
        <v>257</v>
      </c>
      <c r="B806" s="384" t="s">
        <v>302</v>
      </c>
      <c r="C806" s="385"/>
      <c r="D806" s="385"/>
      <c r="E806" s="385">
        <f>E807</f>
        <v>9050</v>
      </c>
      <c r="F806" s="385">
        <f>F807</f>
        <v>9050</v>
      </c>
    </row>
    <row r="807" spans="1:6" s="155" customFormat="1" x14ac:dyDescent="0.25">
      <c r="A807" s="530"/>
      <c r="B807" s="387" t="s">
        <v>13</v>
      </c>
      <c r="C807" s="389"/>
      <c r="D807" s="389"/>
      <c r="E807" s="389">
        <f>'2017'!E631+'2018'!E626</f>
        <v>9050</v>
      </c>
      <c r="F807" s="389">
        <f>'2017'!F631+'2018'!F626</f>
        <v>9050</v>
      </c>
    </row>
    <row r="808" spans="1:6" x14ac:dyDescent="0.25">
      <c r="A808" s="530"/>
      <c r="B808" s="394" t="s">
        <v>54</v>
      </c>
      <c r="C808" s="395">
        <f>C809</f>
        <v>26100</v>
      </c>
      <c r="D808" s="395">
        <f>D809</f>
        <v>26100</v>
      </c>
      <c r="E808" s="395">
        <f>E809</f>
        <v>93750</v>
      </c>
      <c r="F808" s="395">
        <f>F809</f>
        <v>93750</v>
      </c>
    </row>
    <row r="809" spans="1:6" s="155" customFormat="1" x14ac:dyDescent="0.25">
      <c r="A809" s="530"/>
      <c r="B809" s="387" t="s">
        <v>13</v>
      </c>
      <c r="C809" s="389">
        <f>C793+C795+C797+C799+C801+C803+C805+C807</f>
        <v>26100</v>
      </c>
      <c r="D809" s="389">
        <f>D793+D795+D797+D799+D801+D803+D805+D807</f>
        <v>26100</v>
      </c>
      <c r="E809" s="389">
        <f>E793+E795+E797+E799+E801+E803+E805+E807</f>
        <v>93750</v>
      </c>
      <c r="F809" s="389">
        <f>F793+F795+F797+F799+F801+F803+F805+F807</f>
        <v>93750</v>
      </c>
    </row>
    <row r="810" spans="1:6" x14ac:dyDescent="0.25">
      <c r="A810" s="564" t="s">
        <v>121</v>
      </c>
      <c r="B810" s="564"/>
      <c r="C810" s="564"/>
      <c r="D810" s="564"/>
      <c r="E810" s="564"/>
      <c r="F810" s="564"/>
    </row>
    <row r="811" spans="1:6" ht="165" x14ac:dyDescent="0.25">
      <c r="A811" s="530">
        <v>258</v>
      </c>
      <c r="B811" s="384" t="s">
        <v>122</v>
      </c>
      <c r="C811" s="385">
        <f>C812</f>
        <v>18200</v>
      </c>
      <c r="D811" s="385">
        <f>D812</f>
        <v>18200</v>
      </c>
      <c r="E811" s="385">
        <f>E812</f>
        <v>63200</v>
      </c>
      <c r="F811" s="385">
        <f>F812</f>
        <v>63200</v>
      </c>
    </row>
    <row r="812" spans="1:6" s="155" customFormat="1" x14ac:dyDescent="0.25">
      <c r="A812" s="530"/>
      <c r="B812" s="387" t="s">
        <v>13</v>
      </c>
      <c r="C812" s="389">
        <v>18200</v>
      </c>
      <c r="D812" s="389">
        <v>18200</v>
      </c>
      <c r="E812" s="389">
        <f>C812+'2016'!E630+'2017'!E636+'2018'!E631</f>
        <v>63200</v>
      </c>
      <c r="F812" s="389">
        <f>D812+'2016'!F630+'2017'!F636+'2018'!F631</f>
        <v>63200</v>
      </c>
    </row>
    <row r="813" spans="1:6" x14ac:dyDescent="0.25">
      <c r="A813" s="530"/>
      <c r="B813" s="394" t="s">
        <v>54</v>
      </c>
      <c r="C813" s="395">
        <f>C814</f>
        <v>18200</v>
      </c>
      <c r="D813" s="395">
        <f>D814</f>
        <v>18200</v>
      </c>
      <c r="E813" s="395">
        <f>E814</f>
        <v>63200</v>
      </c>
      <c r="F813" s="395">
        <f>F814</f>
        <v>63200</v>
      </c>
    </row>
    <row r="814" spans="1:6" s="155" customFormat="1" x14ac:dyDescent="0.25">
      <c r="A814" s="530"/>
      <c r="B814" s="387" t="s">
        <v>13</v>
      </c>
      <c r="C814" s="389">
        <f>C812</f>
        <v>18200</v>
      </c>
      <c r="D814" s="389">
        <f>D812</f>
        <v>18200</v>
      </c>
      <c r="E814" s="389">
        <f>E812</f>
        <v>63200</v>
      </c>
      <c r="F814" s="389">
        <f>F812</f>
        <v>63200</v>
      </c>
    </row>
    <row r="815" spans="1:6" x14ac:dyDescent="0.25">
      <c r="A815" s="564" t="s">
        <v>123</v>
      </c>
      <c r="B815" s="564"/>
      <c r="C815" s="564"/>
      <c r="D815" s="564"/>
      <c r="E815" s="564"/>
      <c r="F815" s="564"/>
    </row>
    <row r="816" spans="1:6" ht="75" x14ac:dyDescent="0.25">
      <c r="A816" s="530">
        <v>259</v>
      </c>
      <c r="B816" s="384" t="s">
        <v>124</v>
      </c>
      <c r="C816" s="385">
        <f>C817</f>
        <v>1306500</v>
      </c>
      <c r="D816" s="385">
        <f>D817</f>
        <v>836759.3</v>
      </c>
      <c r="E816" s="385">
        <f>E817</f>
        <v>3546300</v>
      </c>
      <c r="F816" s="385">
        <f>F817</f>
        <v>3460168.26</v>
      </c>
    </row>
    <row r="817" spans="1:6" s="155" customFormat="1" x14ac:dyDescent="0.25">
      <c r="A817" s="530"/>
      <c r="B817" s="387" t="s">
        <v>19</v>
      </c>
      <c r="C817" s="389">
        <v>1306500</v>
      </c>
      <c r="D817" s="389">
        <v>836759.3</v>
      </c>
      <c r="E817" s="389">
        <f>C817+'2016'!E635+'2017'!E641+'2018'!E636</f>
        <v>3546300</v>
      </c>
      <c r="F817" s="389">
        <f>D817+'2016'!F635+'2017'!F641+'2018'!F636</f>
        <v>3460168.26</v>
      </c>
    </row>
    <row r="818" spans="1:6" ht="90" x14ac:dyDescent="0.25">
      <c r="A818" s="530">
        <v>260</v>
      </c>
      <c r="B818" s="384" t="s">
        <v>125</v>
      </c>
      <c r="C818" s="385">
        <f>C819</f>
        <v>658500</v>
      </c>
      <c r="D818" s="385">
        <f>D819</f>
        <v>452965.08</v>
      </c>
      <c r="E818" s="385">
        <f>E819</f>
        <v>1787300</v>
      </c>
      <c r="F818" s="385">
        <f>F819</f>
        <v>2272798.0699999998</v>
      </c>
    </row>
    <row r="819" spans="1:6" s="155" customFormat="1" x14ac:dyDescent="0.25">
      <c r="A819" s="530"/>
      <c r="B819" s="387" t="s">
        <v>19</v>
      </c>
      <c r="C819" s="389">
        <v>658500</v>
      </c>
      <c r="D819" s="389">
        <v>452965.08</v>
      </c>
      <c r="E819" s="389">
        <f>C819+'2016'!E637+'2017'!E643+'2018'!E638</f>
        <v>1787300</v>
      </c>
      <c r="F819" s="389">
        <f>D819+'2016'!F637+'2017'!F643+'2018'!F638</f>
        <v>2272798.0699999998</v>
      </c>
    </row>
    <row r="820" spans="1:6" ht="60" x14ac:dyDescent="0.25">
      <c r="A820" s="530">
        <v>261</v>
      </c>
      <c r="B820" s="384" t="s">
        <v>126</v>
      </c>
      <c r="C820" s="385">
        <f>C821</f>
        <v>518100</v>
      </c>
      <c r="D820" s="385">
        <f>D821</f>
        <v>588588.76</v>
      </c>
      <c r="E820" s="385">
        <f>E821</f>
        <v>1406300</v>
      </c>
      <c r="F820" s="385">
        <f>F821</f>
        <v>1822498.44</v>
      </c>
    </row>
    <row r="821" spans="1:6" s="155" customFormat="1" x14ac:dyDescent="0.25">
      <c r="A821" s="530"/>
      <c r="B821" s="387" t="s">
        <v>19</v>
      </c>
      <c r="C821" s="389">
        <v>518100</v>
      </c>
      <c r="D821" s="389">
        <v>588588.76</v>
      </c>
      <c r="E821" s="389">
        <f>C821+'2016'!E639+'2017'!E645+'2018'!E640</f>
        <v>1406300</v>
      </c>
      <c r="F821" s="389">
        <f>D821+'2016'!F639+'2017'!F645+'2018'!F640</f>
        <v>1822498.44</v>
      </c>
    </row>
    <row r="822" spans="1:6" ht="60" x14ac:dyDescent="0.25">
      <c r="A822" s="530">
        <v>262</v>
      </c>
      <c r="B822" s="384" t="s">
        <v>503</v>
      </c>
      <c r="C822" s="385">
        <f>C823</f>
        <v>46000</v>
      </c>
      <c r="D822" s="385">
        <f>D823</f>
        <v>94458.55</v>
      </c>
      <c r="E822" s="385">
        <f>E823</f>
        <v>125000</v>
      </c>
      <c r="F822" s="385">
        <f>F823</f>
        <v>305800.59999999998</v>
      </c>
    </row>
    <row r="823" spans="1:6" s="155" customFormat="1" x14ac:dyDescent="0.25">
      <c r="A823" s="530"/>
      <c r="B823" s="387" t="s">
        <v>19</v>
      </c>
      <c r="C823" s="389">
        <v>46000</v>
      </c>
      <c r="D823" s="389">
        <v>94458.55</v>
      </c>
      <c r="E823" s="389">
        <f>C823+'2016'!E641+'2017'!E647+'2018'!E642</f>
        <v>125000</v>
      </c>
      <c r="F823" s="389">
        <f>D823+'2016'!F641+'2017'!F647+'2018'!F642</f>
        <v>305800.59999999998</v>
      </c>
    </row>
    <row r="824" spans="1:6" x14ac:dyDescent="0.25">
      <c r="A824" s="530"/>
      <c r="B824" s="394" t="s">
        <v>54</v>
      </c>
      <c r="C824" s="395">
        <f>C825</f>
        <v>2529100</v>
      </c>
      <c r="D824" s="395">
        <f>D825</f>
        <v>1972771.6900000002</v>
      </c>
      <c r="E824" s="395">
        <f>E825</f>
        <v>6864900</v>
      </c>
      <c r="F824" s="395">
        <f>F825</f>
        <v>7861265.3699999992</v>
      </c>
    </row>
    <row r="825" spans="1:6" s="155" customFormat="1" x14ac:dyDescent="0.25">
      <c r="A825" s="530"/>
      <c r="B825" s="387" t="s">
        <v>19</v>
      </c>
      <c r="C825" s="389">
        <f>C817+C819+C821+C823</f>
        <v>2529100</v>
      </c>
      <c r="D825" s="389">
        <f>D817+D819+D821+D823</f>
        <v>1972771.6900000002</v>
      </c>
      <c r="E825" s="389">
        <f>E817+E819+E821+E823</f>
        <v>6864900</v>
      </c>
      <c r="F825" s="389">
        <f>F817+F819+F821+F823</f>
        <v>7861265.3699999992</v>
      </c>
    </row>
    <row r="826" spans="1:6" x14ac:dyDescent="0.25">
      <c r="A826" s="564" t="s">
        <v>127</v>
      </c>
      <c r="B826" s="564"/>
      <c r="C826" s="564"/>
      <c r="D826" s="564"/>
      <c r="E826" s="564"/>
      <c r="F826" s="564"/>
    </row>
    <row r="827" spans="1:6" ht="113.25" customHeight="1" x14ac:dyDescent="0.25">
      <c r="A827" s="530">
        <v>263</v>
      </c>
      <c r="B827" s="384" t="s">
        <v>128</v>
      </c>
      <c r="C827" s="385">
        <f>C828</f>
        <v>14670</v>
      </c>
      <c r="D827" s="385">
        <f>D828</f>
        <v>14670</v>
      </c>
      <c r="E827" s="385">
        <f>E828</f>
        <v>49740</v>
      </c>
      <c r="F827" s="385">
        <f>F828</f>
        <v>49740</v>
      </c>
    </row>
    <row r="828" spans="1:6" s="155" customFormat="1" x14ac:dyDescent="0.25">
      <c r="A828" s="530"/>
      <c r="B828" s="387" t="s">
        <v>13</v>
      </c>
      <c r="C828" s="389">
        <v>14670</v>
      </c>
      <c r="D828" s="389">
        <v>14670</v>
      </c>
      <c r="E828" s="389">
        <f>C828+'2016'!E646+'2017'!E652+'2018'!E647</f>
        <v>49740</v>
      </c>
      <c r="F828" s="389">
        <f>D828+'2016'!E646+'2017'!E652+'2018'!E647</f>
        <v>49740</v>
      </c>
    </row>
    <row r="829" spans="1:6" ht="150" x14ac:dyDescent="0.25">
      <c r="A829" s="530">
        <v>264</v>
      </c>
      <c r="B829" s="384" t="s">
        <v>129</v>
      </c>
      <c r="C829" s="385">
        <f>C835</f>
        <v>35730</v>
      </c>
      <c r="D829" s="385">
        <f>D835</f>
        <v>35730</v>
      </c>
      <c r="E829" s="385">
        <f>E835</f>
        <v>133460</v>
      </c>
      <c r="F829" s="385">
        <f>F835</f>
        <v>133460</v>
      </c>
    </row>
    <row r="830" spans="1:6" x14ac:dyDescent="0.25">
      <c r="A830" s="530"/>
      <c r="B830" s="384" t="s">
        <v>130</v>
      </c>
      <c r="C830" s="385">
        <v>5310</v>
      </c>
      <c r="D830" s="385">
        <v>5310</v>
      </c>
      <c r="E830" s="385">
        <f>C830+'2016'!E648+'2017'!E654+'2018'!E649</f>
        <v>21120</v>
      </c>
      <c r="F830" s="385">
        <f>D830+'2016'!F648+'2017'!F654+'2018'!F649</f>
        <v>21120</v>
      </c>
    </row>
    <row r="831" spans="1:6" x14ac:dyDescent="0.25">
      <c r="A831" s="530"/>
      <c r="B831" s="384" t="s">
        <v>131</v>
      </c>
      <c r="C831" s="385">
        <v>5310</v>
      </c>
      <c r="D831" s="385">
        <v>5310</v>
      </c>
      <c r="E831" s="385">
        <f>C831+'2016'!E649+'2017'!E655+'2018'!E650</f>
        <v>21120</v>
      </c>
      <c r="F831" s="385">
        <f>D831+'2016'!F649+'2017'!F655+'2018'!F650</f>
        <v>21120</v>
      </c>
    </row>
    <row r="832" spans="1:6" x14ac:dyDescent="0.25">
      <c r="A832" s="530"/>
      <c r="B832" s="384" t="s">
        <v>132</v>
      </c>
      <c r="C832" s="385">
        <v>5310</v>
      </c>
      <c r="D832" s="385">
        <v>5310</v>
      </c>
      <c r="E832" s="385">
        <f>C832+'2016'!E650+'2017'!E656+'2018'!E651</f>
        <v>21120</v>
      </c>
      <c r="F832" s="385">
        <f>D832+'2016'!F650+'2017'!F656+'2018'!F651</f>
        <v>21120</v>
      </c>
    </row>
    <row r="833" spans="1:6" x14ac:dyDescent="0.25">
      <c r="A833" s="530"/>
      <c r="B833" s="384" t="s">
        <v>133</v>
      </c>
      <c r="C833" s="385">
        <v>14490</v>
      </c>
      <c r="D833" s="385">
        <v>14490</v>
      </c>
      <c r="E833" s="385">
        <f>C833+'2016'!E651+'2017'!E657+'2018'!E652</f>
        <v>48980</v>
      </c>
      <c r="F833" s="385">
        <f>D833+'2016'!E651+'2017'!E657+'2018'!E652</f>
        <v>48980</v>
      </c>
    </row>
    <row r="834" spans="1:6" x14ac:dyDescent="0.25">
      <c r="A834" s="530"/>
      <c r="B834" s="384" t="s">
        <v>134</v>
      </c>
      <c r="C834" s="385">
        <v>5310</v>
      </c>
      <c r="D834" s="385">
        <v>5310</v>
      </c>
      <c r="E834" s="385">
        <f>C834+'2016'!E652+'2017'!E658+'2018'!E653</f>
        <v>21120</v>
      </c>
      <c r="F834" s="385">
        <f>D834+'2016'!F652+'2017'!F658+'2018'!F653</f>
        <v>21120</v>
      </c>
    </row>
    <row r="835" spans="1:6" s="155" customFormat="1" x14ac:dyDescent="0.25">
      <c r="A835" s="530"/>
      <c r="B835" s="387" t="s">
        <v>13</v>
      </c>
      <c r="C835" s="389">
        <f>C830+C831+C832+C833+C834</f>
        <v>35730</v>
      </c>
      <c r="D835" s="389">
        <f>D830+D831+D832+D833+D834</f>
        <v>35730</v>
      </c>
      <c r="E835" s="389">
        <f>E830+E831+E832+E833+E834</f>
        <v>133460</v>
      </c>
      <c r="F835" s="389">
        <f>F830+F831+F832+F833+F834</f>
        <v>133460</v>
      </c>
    </row>
    <row r="836" spans="1:6" ht="69" customHeight="1" x14ac:dyDescent="0.25">
      <c r="A836" s="530">
        <v>265</v>
      </c>
      <c r="B836" s="384" t="s">
        <v>272</v>
      </c>
      <c r="C836" s="385">
        <f>C837</f>
        <v>8640</v>
      </c>
      <c r="D836" s="385">
        <f>D837</f>
        <v>8640</v>
      </c>
      <c r="E836" s="385">
        <f>E837</f>
        <v>34280</v>
      </c>
      <c r="F836" s="385">
        <f>F837</f>
        <v>34280</v>
      </c>
    </row>
    <row r="837" spans="1:6" s="155" customFormat="1" x14ac:dyDescent="0.25">
      <c r="A837" s="530"/>
      <c r="B837" s="387" t="s">
        <v>13</v>
      </c>
      <c r="C837" s="389">
        <v>8640</v>
      </c>
      <c r="D837" s="389">
        <v>8640</v>
      </c>
      <c r="E837" s="389">
        <f>C837+'2016'!E655+'2017'!E661+'2018'!E656</f>
        <v>34280</v>
      </c>
      <c r="F837" s="389">
        <f>D837+'2016'!E655+'2017'!E661+'2018'!E656</f>
        <v>34280</v>
      </c>
    </row>
    <row r="838" spans="1:6" s="155" customFormat="1" ht="90" x14ac:dyDescent="0.25">
      <c r="A838" s="530">
        <v>266</v>
      </c>
      <c r="B838" s="384" t="s">
        <v>596</v>
      </c>
      <c r="C838" s="389"/>
      <c r="D838" s="389"/>
      <c r="E838" s="385">
        <f>E839</f>
        <v>0</v>
      </c>
      <c r="F838" s="385">
        <f>F839</f>
        <v>0</v>
      </c>
    </row>
    <row r="839" spans="1:6" s="155" customFormat="1" x14ac:dyDescent="0.25">
      <c r="A839" s="530"/>
      <c r="B839" s="387" t="s">
        <v>13</v>
      </c>
      <c r="C839" s="389"/>
      <c r="D839" s="389"/>
      <c r="E839" s="389">
        <v>0</v>
      </c>
      <c r="F839" s="389">
        <v>0</v>
      </c>
    </row>
    <row r="840" spans="1:6" s="155" customFormat="1" ht="105" x14ac:dyDescent="0.25">
      <c r="A840" s="530">
        <v>267</v>
      </c>
      <c r="B840" s="384" t="s">
        <v>597</v>
      </c>
      <c r="C840" s="385">
        <f>C841</f>
        <v>3400</v>
      </c>
      <c r="D840" s="385">
        <f>D841</f>
        <v>0</v>
      </c>
      <c r="E840" s="385">
        <f>E841</f>
        <v>9100</v>
      </c>
      <c r="F840" s="385">
        <f>F841</f>
        <v>5700</v>
      </c>
    </row>
    <row r="841" spans="1:6" s="155" customFormat="1" x14ac:dyDescent="0.25">
      <c r="A841" s="530"/>
      <c r="B841" s="387" t="s">
        <v>13</v>
      </c>
      <c r="C841" s="389">
        <v>3400</v>
      </c>
      <c r="D841" s="389"/>
      <c r="E841" s="389">
        <f>C841+'2016'!E657+'2017'!E663</f>
        <v>9100</v>
      </c>
      <c r="F841" s="389">
        <f>D841+'2016'!E657+'2017'!E663</f>
        <v>5700</v>
      </c>
    </row>
    <row r="842" spans="1:6" ht="126.75" customHeight="1" x14ac:dyDescent="0.25">
      <c r="A842" s="530">
        <v>268</v>
      </c>
      <c r="B842" s="384" t="s">
        <v>599</v>
      </c>
      <c r="C842" s="385">
        <f>C843</f>
        <v>2771</v>
      </c>
      <c r="D842" s="385">
        <f>D843</f>
        <v>2771</v>
      </c>
      <c r="E842" s="385">
        <f>E843</f>
        <v>11195</v>
      </c>
      <c r="F842" s="385">
        <f>F843</f>
        <v>11195</v>
      </c>
    </row>
    <row r="843" spans="1:6" s="155" customFormat="1" x14ac:dyDescent="0.25">
      <c r="A843" s="530"/>
      <c r="B843" s="387" t="s">
        <v>13</v>
      </c>
      <c r="C843" s="389">
        <v>2771</v>
      </c>
      <c r="D843" s="389">
        <v>2771</v>
      </c>
      <c r="E843" s="389">
        <f>C843+'2016'!E659+'2017'!E665+'2018'!E658</f>
        <v>11195</v>
      </c>
      <c r="F843" s="389">
        <f>D843+'2016'!F659+'2017'!F665+'2018'!F658</f>
        <v>11195</v>
      </c>
    </row>
    <row r="844" spans="1:6" ht="165" x14ac:dyDescent="0.25">
      <c r="A844" s="530">
        <v>269</v>
      </c>
      <c r="B844" s="384" t="s">
        <v>136</v>
      </c>
      <c r="C844" s="385">
        <f>C847</f>
        <v>9900</v>
      </c>
      <c r="D844" s="385">
        <f>D847</f>
        <v>9900</v>
      </c>
      <c r="E844" s="385">
        <f>E847</f>
        <v>33882.6</v>
      </c>
      <c r="F844" s="385">
        <f>F847</f>
        <v>33882.6</v>
      </c>
    </row>
    <row r="845" spans="1:6" x14ac:dyDescent="0.25">
      <c r="A845" s="530"/>
      <c r="B845" s="384" t="s">
        <v>137</v>
      </c>
      <c r="C845" s="385">
        <v>3400</v>
      </c>
      <c r="D845" s="385">
        <v>3400</v>
      </c>
      <c r="E845" s="385">
        <f>C845+'2016'!E661+'2017'!E667+'2018'!E660</f>
        <v>11490</v>
      </c>
      <c r="F845" s="385">
        <f>D845+'2016'!F661+'2017'!F667+'2018'!F660</f>
        <v>11490</v>
      </c>
    </row>
    <row r="846" spans="1:6" ht="60" x14ac:dyDescent="0.25">
      <c r="A846" s="530"/>
      <c r="B846" s="384" t="s">
        <v>138</v>
      </c>
      <c r="C846" s="385">
        <v>6500</v>
      </c>
      <c r="D846" s="385">
        <v>6500</v>
      </c>
      <c r="E846" s="385">
        <f>C846+'2016'!E662+'2017'!E668+'2018'!E661</f>
        <v>22392.6</v>
      </c>
      <c r="F846" s="385">
        <f>D846+'2016'!F662+'2017'!F668+'2018'!F661</f>
        <v>22392.6</v>
      </c>
    </row>
    <row r="847" spans="1:6" s="155" customFormat="1" x14ac:dyDescent="0.25">
      <c r="A847" s="530"/>
      <c r="B847" s="387" t="s">
        <v>13</v>
      </c>
      <c r="C847" s="389">
        <f>C845+C846</f>
        <v>9900</v>
      </c>
      <c r="D847" s="389">
        <f>D845+D846</f>
        <v>9900</v>
      </c>
      <c r="E847" s="389">
        <f>E845+E846</f>
        <v>33882.6</v>
      </c>
      <c r="F847" s="389">
        <f>F845+F846</f>
        <v>33882.6</v>
      </c>
    </row>
    <row r="848" spans="1:6" x14ac:dyDescent="0.25">
      <c r="A848" s="530"/>
      <c r="B848" s="394" t="s">
        <v>54</v>
      </c>
      <c r="C848" s="395">
        <f>C849</f>
        <v>75111</v>
      </c>
      <c r="D848" s="395">
        <f>D849</f>
        <v>71711</v>
      </c>
      <c r="E848" s="395">
        <f>E849</f>
        <v>271657.59999999998</v>
      </c>
      <c r="F848" s="395">
        <f>F849</f>
        <v>268257.59999999998</v>
      </c>
    </row>
    <row r="849" spans="1:6" s="155" customFormat="1" x14ac:dyDescent="0.25">
      <c r="A849" s="530"/>
      <c r="B849" s="387" t="s">
        <v>13</v>
      </c>
      <c r="C849" s="389">
        <f>C828+C835+C837+C841+C843+C847</f>
        <v>75111</v>
      </c>
      <c r="D849" s="389">
        <f>D828+D835+D837+D841+D843+D847</f>
        <v>71711</v>
      </c>
      <c r="E849" s="389">
        <f>E828+E835+E837+E841+E843+E847</f>
        <v>271657.59999999998</v>
      </c>
      <c r="F849" s="389">
        <f>F828+F835+F837+F841+F843+F847</f>
        <v>268257.59999999998</v>
      </c>
    </row>
    <row r="850" spans="1:6" x14ac:dyDescent="0.25">
      <c r="A850" s="530"/>
      <c r="B850" s="394" t="s">
        <v>73</v>
      </c>
      <c r="C850" s="395">
        <f>C851+C852+C853</f>
        <v>3338913</v>
      </c>
      <c r="D850" s="395">
        <f>D851+D852+D853</f>
        <v>2760984.6900000004</v>
      </c>
      <c r="E850" s="395">
        <f>E851+E852+E853</f>
        <v>10662946.300000001</v>
      </c>
      <c r="F850" s="395">
        <f>F851+F852+F853</f>
        <v>11489235.77</v>
      </c>
    </row>
    <row r="851" spans="1:6" s="155" customFormat="1" x14ac:dyDescent="0.25">
      <c r="A851" s="530"/>
      <c r="B851" s="387" t="s">
        <v>13</v>
      </c>
      <c r="C851" s="389">
        <f>C698+C714+C723+C735+C748+C753+C760+C765+C789+C809+C814+C849</f>
        <v>792313</v>
      </c>
      <c r="D851" s="389">
        <f>D698+D714+D723+D735+D748+D753+D760+D765+D789+D809+D814+D849</f>
        <v>770713</v>
      </c>
      <c r="E851" s="389">
        <f>E698+E714+E723+E735+E748+E753+E760+E765+E789+E809+E814+E849</f>
        <v>3708546.3000000003</v>
      </c>
      <c r="F851" s="389">
        <f>F698+F714+F723+F735+F748+F753+F760+F765+F789+F809+F814+F849</f>
        <v>3538470.4</v>
      </c>
    </row>
    <row r="852" spans="1:6" s="155" customFormat="1" x14ac:dyDescent="0.25">
      <c r="A852" s="530"/>
      <c r="B852" s="387" t="s">
        <v>144</v>
      </c>
      <c r="C852" s="389">
        <f>C825</f>
        <v>2529100</v>
      </c>
      <c r="D852" s="389">
        <f>D825</f>
        <v>1972771.6900000002</v>
      </c>
      <c r="E852" s="389">
        <f>E825</f>
        <v>6864900</v>
      </c>
      <c r="F852" s="389">
        <f>F825</f>
        <v>7861265.3699999992</v>
      </c>
    </row>
    <row r="853" spans="1:6" s="155" customFormat="1" ht="23.25" customHeight="1" x14ac:dyDescent="0.25">
      <c r="A853" s="530"/>
      <c r="B853" s="387" t="s">
        <v>139</v>
      </c>
      <c r="C853" s="389">
        <f>C699+C790</f>
        <v>17500</v>
      </c>
      <c r="D853" s="389">
        <f>D699+D790</f>
        <v>17500</v>
      </c>
      <c r="E853" s="389">
        <f>E699+E790</f>
        <v>89500</v>
      </c>
      <c r="F853" s="389">
        <f>F699+F790</f>
        <v>89500</v>
      </c>
    </row>
    <row r="854" spans="1:6" ht="8.25" customHeight="1" x14ac:dyDescent="0.25">
      <c r="A854" s="530"/>
      <c r="B854" s="387"/>
      <c r="C854" s="530"/>
      <c r="D854" s="530"/>
      <c r="E854" s="531"/>
      <c r="F854" s="531"/>
    </row>
    <row r="855" spans="1:6" x14ac:dyDescent="0.25">
      <c r="A855" s="565" t="s">
        <v>308</v>
      </c>
      <c r="B855" s="565"/>
      <c r="C855" s="565"/>
      <c r="D855" s="565"/>
      <c r="E855" s="565"/>
      <c r="F855" s="565"/>
    </row>
    <row r="856" spans="1:6" x14ac:dyDescent="0.25">
      <c r="A856" s="564" t="s">
        <v>309</v>
      </c>
      <c r="B856" s="564"/>
      <c r="C856" s="564"/>
      <c r="D856" s="564"/>
      <c r="E856" s="564"/>
      <c r="F856" s="564"/>
    </row>
    <row r="857" spans="1:6" ht="75" x14ac:dyDescent="0.25">
      <c r="A857" s="530">
        <v>270</v>
      </c>
      <c r="B857" s="384" t="s">
        <v>40</v>
      </c>
      <c r="C857" s="385">
        <f>C858</f>
        <v>3721351</v>
      </c>
      <c r="D857" s="385">
        <f>D858</f>
        <v>3705549.14</v>
      </c>
      <c r="E857" s="385">
        <f>E858</f>
        <v>10753278</v>
      </c>
      <c r="F857" s="385">
        <f>F858</f>
        <v>10434509.140000001</v>
      </c>
    </row>
    <row r="858" spans="1:6" s="155" customFormat="1" x14ac:dyDescent="0.25">
      <c r="A858" s="530"/>
      <c r="B858" s="387" t="s">
        <v>13</v>
      </c>
      <c r="C858" s="390">
        <v>3721351</v>
      </c>
      <c r="D858" s="389">
        <v>3705549.14</v>
      </c>
      <c r="E858" s="390">
        <f>C858+'2017'!E680+'2018'!E673</f>
        <v>10753278</v>
      </c>
      <c r="F858" s="390">
        <f>D858+3350462+3378498</f>
        <v>10434509.140000001</v>
      </c>
    </row>
    <row r="859" spans="1:6" ht="120" x14ac:dyDescent="0.25">
      <c r="A859" s="530">
        <v>271</v>
      </c>
      <c r="B859" s="384" t="s">
        <v>310</v>
      </c>
      <c r="C859" s="385">
        <f>C860</f>
        <v>197790</v>
      </c>
      <c r="D859" s="385">
        <f>D860</f>
        <v>197790</v>
      </c>
      <c r="E859" s="385">
        <f>E860</f>
        <v>604882</v>
      </c>
      <c r="F859" s="385">
        <f>F860</f>
        <v>604882</v>
      </c>
    </row>
    <row r="860" spans="1:6" s="155" customFormat="1" x14ac:dyDescent="0.25">
      <c r="A860" s="530"/>
      <c r="B860" s="387" t="s">
        <v>13</v>
      </c>
      <c r="C860" s="390">
        <v>197790</v>
      </c>
      <c r="D860" s="390">
        <v>197790</v>
      </c>
      <c r="E860" s="390">
        <f>C860+'2017'!E682+'2018'!E675</f>
        <v>604882</v>
      </c>
      <c r="F860" s="390">
        <f>D860+209302+197790</f>
        <v>604882</v>
      </c>
    </row>
    <row r="861" spans="1:6" ht="60" x14ac:dyDescent="0.25">
      <c r="A861" s="530">
        <v>272</v>
      </c>
      <c r="B861" s="384" t="s">
        <v>41</v>
      </c>
      <c r="C861" s="385">
        <f>C862</f>
        <v>138150</v>
      </c>
      <c r="D861" s="385">
        <f>D862</f>
        <v>138150</v>
      </c>
      <c r="E861" s="385">
        <f>E862</f>
        <v>422491</v>
      </c>
      <c r="F861" s="385">
        <f>F862</f>
        <v>422491</v>
      </c>
    </row>
    <row r="862" spans="1:6" s="155" customFormat="1" x14ac:dyDescent="0.25">
      <c r="A862" s="530"/>
      <c r="B862" s="387" t="s">
        <v>13</v>
      </c>
      <c r="C862" s="390">
        <v>138150</v>
      </c>
      <c r="D862" s="390">
        <v>138150</v>
      </c>
      <c r="E862" s="390">
        <f>C862+'2017'!E684+'2018'!E677</f>
        <v>422491</v>
      </c>
      <c r="F862" s="390">
        <f>D862+146191+138150</f>
        <v>422491</v>
      </c>
    </row>
    <row r="863" spans="1:6" ht="30" x14ac:dyDescent="0.25">
      <c r="A863" s="530">
        <v>273</v>
      </c>
      <c r="B863" s="384" t="s">
        <v>42</v>
      </c>
      <c r="C863" s="385">
        <f>C864</f>
        <v>9737</v>
      </c>
      <c r="D863" s="385">
        <f>D864</f>
        <v>9737</v>
      </c>
      <c r="E863" s="385">
        <f>E864</f>
        <v>29778</v>
      </c>
      <c r="F863" s="385">
        <f>F864</f>
        <v>29778</v>
      </c>
    </row>
    <row r="864" spans="1:6" s="155" customFormat="1" x14ac:dyDescent="0.25">
      <c r="A864" s="530"/>
      <c r="B864" s="387" t="s">
        <v>13</v>
      </c>
      <c r="C864" s="390">
        <v>9737</v>
      </c>
      <c r="D864" s="390">
        <v>9737</v>
      </c>
      <c r="E864" s="390">
        <f>C864+'2017'!E686+'2018'!E679</f>
        <v>29778</v>
      </c>
      <c r="F864" s="390">
        <f>D864+10304+9737</f>
        <v>29778</v>
      </c>
    </row>
    <row r="865" spans="1:6" ht="45" x14ac:dyDescent="0.25">
      <c r="A865" s="530">
        <v>274</v>
      </c>
      <c r="B865" s="384" t="s">
        <v>43</v>
      </c>
      <c r="C865" s="401">
        <f>C866</f>
        <v>15360967.589999998</v>
      </c>
      <c r="D865" s="401">
        <f>D866</f>
        <v>17169637.41</v>
      </c>
      <c r="E865" s="401">
        <f>E866</f>
        <v>47479594.490000002</v>
      </c>
      <c r="F865" s="401">
        <f>F866</f>
        <v>52849961</v>
      </c>
    </row>
    <row r="866" spans="1:6" s="155" customFormat="1" x14ac:dyDescent="0.25">
      <c r="A866" s="530"/>
      <c r="B866" s="387" t="s">
        <v>312</v>
      </c>
      <c r="C866" s="404">
        <f>C867+C868+C869+C870+C871+C872+C873</f>
        <v>15360967.589999998</v>
      </c>
      <c r="D866" s="404">
        <f>D867+D868+D869+D870+D871+D872+D873</f>
        <v>17169637.41</v>
      </c>
      <c r="E866" s="404">
        <f>E867+E868+E869+E870+E871+E872+E873</f>
        <v>47479594.490000002</v>
      </c>
      <c r="F866" s="404">
        <f>F867+F868+F869+F870+F871+F872+F873</f>
        <v>52849961</v>
      </c>
    </row>
    <row r="867" spans="1:6" x14ac:dyDescent="0.25">
      <c r="A867" s="530"/>
      <c r="B867" s="381" t="s">
        <v>28</v>
      </c>
      <c r="C867" s="385">
        <f>C876+C885+C894+C917+C924+C933+C942+C953</f>
        <v>940814</v>
      </c>
      <c r="D867" s="385">
        <f>D876+D885+D894+D917+D924+D933+D942+D953</f>
        <v>905913.03</v>
      </c>
      <c r="E867" s="385">
        <f>E876+E885+E894+E917+E924+E933+E942+E953</f>
        <v>2800990</v>
      </c>
      <c r="F867" s="385">
        <f>F876+F885+F894+F917+F924+F933+F942+F953</f>
        <v>2332099</v>
      </c>
    </row>
    <row r="868" spans="1:6" x14ac:dyDescent="0.25">
      <c r="A868" s="530"/>
      <c r="B868" s="381" t="s">
        <v>29</v>
      </c>
      <c r="C868" s="385">
        <f>C877+C886+C895+C903+C918+C925+C934+C954</f>
        <v>1243230.1399999999</v>
      </c>
      <c r="D868" s="385">
        <f>D877+D886+D895+D903+D918+D925+D934+D954</f>
        <v>1402760.12</v>
      </c>
      <c r="E868" s="385">
        <f>E877+E886+E895+E903+E918+E925+E934+E954</f>
        <v>2459998.34</v>
      </c>
      <c r="F868" s="385">
        <f>F877+F886+F895+F903+F918+F925+F934+F954</f>
        <v>2796274.5199999996</v>
      </c>
    </row>
    <row r="869" spans="1:6" x14ac:dyDescent="0.25">
      <c r="A869" s="530"/>
      <c r="B869" s="381" t="s">
        <v>30</v>
      </c>
      <c r="C869" s="385">
        <f>C878+C887+C896+C926+C935+C955</f>
        <v>1877022.8</v>
      </c>
      <c r="D869" s="385">
        <f>D878+D887+D896+D926+D935+D955</f>
        <v>1875378.87</v>
      </c>
      <c r="E869" s="385">
        <f>E878+E887+E896+E926+E935+E955</f>
        <v>5316488.8499999996</v>
      </c>
      <c r="F869" s="385">
        <f>F878+F887+F896+F926+F935+F955</f>
        <v>5283535.5000000009</v>
      </c>
    </row>
    <row r="870" spans="1:6" x14ac:dyDescent="0.25">
      <c r="A870" s="530"/>
      <c r="B870" s="381" t="s">
        <v>31</v>
      </c>
      <c r="C870" s="385">
        <f>C879+C888+C897+C904+C919+C927+C936+C943+C949+C956</f>
        <v>1289084.71</v>
      </c>
      <c r="D870" s="385">
        <f>D879+D888+D897+D904+D919+D927+D936+D943+D949+D956</f>
        <v>1307325.8100000003</v>
      </c>
      <c r="E870" s="385">
        <f>E879+E888+E897+E904+E919+E927+E936+E943+E949+E956</f>
        <v>3447211.33</v>
      </c>
      <c r="F870" s="385">
        <f>F879+F888+F897+F904+F919+F927+F936+F943+F949+F956</f>
        <v>3100078.6199999996</v>
      </c>
    </row>
    <row r="871" spans="1:6" x14ac:dyDescent="0.25">
      <c r="A871" s="530"/>
      <c r="B871" s="381" t="s">
        <v>32</v>
      </c>
      <c r="C871" s="385">
        <f>C880+C889+C898+C905+C910+C914+C920+C928+C937+C957+C961</f>
        <v>3343122</v>
      </c>
      <c r="D871" s="385">
        <f>D880+D889+D898+D905+D910+D914+D920+D928+D937+D957+D961</f>
        <v>4088756.2399999998</v>
      </c>
      <c r="E871" s="385">
        <f>E880+E889+E898+E905+E910+E914+E920+E928+E937+E957+E961</f>
        <v>7583066</v>
      </c>
      <c r="F871" s="385">
        <f>F880+F889+F898+F905+F910+F914+F920+F928+F937+F957+F961</f>
        <v>8549452.4900000002</v>
      </c>
    </row>
    <row r="872" spans="1:6" x14ac:dyDescent="0.25">
      <c r="A872" s="530"/>
      <c r="B872" s="381" t="s">
        <v>33</v>
      </c>
      <c r="C872" s="385">
        <f>C881+C890+C899+C906+C921+C929+C938+C958</f>
        <v>1654984.94</v>
      </c>
      <c r="D872" s="385">
        <f>D881+D890+D899+D906+D921+D929+D938+D958</f>
        <v>3143492.3800000004</v>
      </c>
      <c r="E872" s="385">
        <f>E881+E890+E899+E906+E921+E929+E938+E958</f>
        <v>2301288.94</v>
      </c>
      <c r="F872" s="385">
        <f>F881+F890+F899+F906+F921+F929+F938+F958</f>
        <v>4061277.58</v>
      </c>
    </row>
    <row r="873" spans="1:6" x14ac:dyDescent="0.25">
      <c r="A873" s="530"/>
      <c r="B873" s="381" t="s">
        <v>34</v>
      </c>
      <c r="C873" s="385">
        <f>C882+C891+C900+C907+C911+C930+C939+C946+C950</f>
        <v>5012709</v>
      </c>
      <c r="D873" s="385">
        <f>D882+D891+D900+D907+D911+D930+D939+D946+D950</f>
        <v>4446010.96</v>
      </c>
      <c r="E873" s="385">
        <f>E882+E891+E900+E907+E911+E930+E939+E946+E950</f>
        <v>23570551.030000001</v>
      </c>
      <c r="F873" s="385">
        <f>F882+F891+F900+F907+F911+F930+F939+F946+F950</f>
        <v>26727243.289999999</v>
      </c>
    </row>
    <row r="874" spans="1:6" ht="30" x14ac:dyDescent="0.25">
      <c r="A874" s="530" t="s">
        <v>669</v>
      </c>
      <c r="B874" s="384" t="s">
        <v>311</v>
      </c>
      <c r="C874" s="401">
        <f>C875</f>
        <v>4270504.05</v>
      </c>
      <c r="D874" s="401">
        <f>D875</f>
        <v>3776663.2699999996</v>
      </c>
      <c r="E874" s="401">
        <f>E875</f>
        <v>14385869.850000001</v>
      </c>
      <c r="F874" s="401">
        <f>F875</f>
        <v>12625965.399999999</v>
      </c>
    </row>
    <row r="875" spans="1:6" s="155" customFormat="1" x14ac:dyDescent="0.25">
      <c r="A875" s="530"/>
      <c r="B875" s="387" t="s">
        <v>312</v>
      </c>
      <c r="C875" s="404">
        <f>C876+C877+C878+C879+C880+C881+C882</f>
        <v>4270504.05</v>
      </c>
      <c r="D875" s="404">
        <f>D876+D877+D878+D879+D880+D881+D882</f>
        <v>3776663.2699999996</v>
      </c>
      <c r="E875" s="404">
        <f>E876+E877+E878+E879+E880+E881+E882</f>
        <v>14385869.850000001</v>
      </c>
      <c r="F875" s="404">
        <f>F876+F877+F878+F879+F880+F881+F882</f>
        <v>12625965.399999999</v>
      </c>
    </row>
    <row r="876" spans="1:6" x14ac:dyDescent="0.25">
      <c r="A876" s="530"/>
      <c r="B876" s="381" t="s">
        <v>28</v>
      </c>
      <c r="C876" s="401">
        <v>353806</v>
      </c>
      <c r="D876" s="385">
        <v>238066</v>
      </c>
      <c r="E876" s="401">
        <f>C876+'2017'!E698+'2018'!E691</f>
        <v>733806</v>
      </c>
      <c r="F876" s="401">
        <f>D876+24383.5+161165.5</f>
        <v>423615</v>
      </c>
    </row>
    <row r="877" spans="1:6" x14ac:dyDescent="0.25">
      <c r="A877" s="530"/>
      <c r="B877" s="381" t="s">
        <v>29</v>
      </c>
      <c r="C877" s="401">
        <v>148000</v>
      </c>
      <c r="D877" s="385">
        <v>159466</v>
      </c>
      <c r="E877" s="401">
        <f>C877+'2017'!E699+'2018'!E692</f>
        <v>185176</v>
      </c>
      <c r="F877" s="401">
        <f>D877+25000+26767</f>
        <v>211233</v>
      </c>
    </row>
    <row r="878" spans="1:6" x14ac:dyDescent="0.25">
      <c r="A878" s="530"/>
      <c r="B878" s="381" t="s">
        <v>30</v>
      </c>
      <c r="C878" s="401">
        <v>400000</v>
      </c>
      <c r="D878" s="401">
        <v>400000</v>
      </c>
      <c r="E878" s="401">
        <f>C878+'2017'!E700+'2018'!E693</f>
        <v>1725000</v>
      </c>
      <c r="F878" s="401">
        <f>D878+515956+793972</f>
        <v>1709928</v>
      </c>
    </row>
    <row r="879" spans="1:6" x14ac:dyDescent="0.25">
      <c r="A879" s="530"/>
      <c r="B879" s="381" t="s">
        <v>31</v>
      </c>
      <c r="C879" s="401">
        <v>173848.05</v>
      </c>
      <c r="D879" s="385">
        <v>194988.05</v>
      </c>
      <c r="E879" s="401">
        <f>C879+'2017'!E701+'2018'!E694</f>
        <v>503276.87</v>
      </c>
      <c r="F879" s="401">
        <f>D879+219115.82+51687.98</f>
        <v>465791.85</v>
      </c>
    </row>
    <row r="880" spans="1:6" x14ac:dyDescent="0.25">
      <c r="A880" s="530"/>
      <c r="B880" s="381" t="s">
        <v>32</v>
      </c>
      <c r="C880" s="401">
        <v>585000</v>
      </c>
      <c r="D880" s="385">
        <v>582790</v>
      </c>
      <c r="E880" s="401">
        <f>C880+'2017'!E702+'2018'!E695</f>
        <v>646000</v>
      </c>
      <c r="F880" s="401">
        <f>D880+14530+36780</f>
        <v>634100</v>
      </c>
    </row>
    <row r="881" spans="1:6" x14ac:dyDescent="0.25">
      <c r="A881" s="530"/>
      <c r="B881" s="381" t="s">
        <v>33</v>
      </c>
      <c r="C881" s="401">
        <v>604850</v>
      </c>
      <c r="D881" s="385">
        <v>982550</v>
      </c>
      <c r="E881" s="401">
        <f>C881+'2017'!E703+'2018'!E696</f>
        <v>611569</v>
      </c>
      <c r="F881" s="401">
        <f>D881+'2017'!F703+'2018'!F696</f>
        <v>992151.5</v>
      </c>
    </row>
    <row r="882" spans="1:6" x14ac:dyDescent="0.25">
      <c r="A882" s="530"/>
      <c r="B882" s="381" t="s">
        <v>34</v>
      </c>
      <c r="C882" s="401">
        <v>2005000</v>
      </c>
      <c r="D882" s="385">
        <v>1218803.22</v>
      </c>
      <c r="E882" s="401">
        <f>C882+'2017'!E704+'2018'!E697</f>
        <v>9981041.9800000004</v>
      </c>
      <c r="F882" s="401">
        <f>D882+2222144.34+4748198.49</f>
        <v>8189146.0499999998</v>
      </c>
    </row>
    <row r="883" spans="1:6" ht="30" x14ac:dyDescent="0.25">
      <c r="A883" s="530" t="s">
        <v>674</v>
      </c>
      <c r="B883" s="384" t="s">
        <v>313</v>
      </c>
      <c r="C883" s="401">
        <f>C884</f>
        <v>3363553</v>
      </c>
      <c r="D883" s="401">
        <f>D884</f>
        <v>2954624.5599999996</v>
      </c>
      <c r="E883" s="401">
        <f>E884</f>
        <v>14281445.300000001</v>
      </c>
      <c r="F883" s="401">
        <f>F884</f>
        <v>17728366.550000001</v>
      </c>
    </row>
    <row r="884" spans="1:6" x14ac:dyDescent="0.25">
      <c r="A884" s="530"/>
      <c r="B884" s="387" t="s">
        <v>312</v>
      </c>
      <c r="C884" s="404">
        <f>C885+C886+C887+C888+C889+C890+C891</f>
        <v>3363553</v>
      </c>
      <c r="D884" s="404">
        <f>D885+D886+D887+D888+D889+D890+D891</f>
        <v>2954624.5599999996</v>
      </c>
      <c r="E884" s="404">
        <f>E885+E886+E887+E888+E889+E890+E891</f>
        <v>14281445.300000001</v>
      </c>
      <c r="F884" s="404">
        <f>F885+F886+F887+F888+F889+F890+F891</f>
        <v>17728366.550000001</v>
      </c>
    </row>
    <row r="885" spans="1:6" x14ac:dyDescent="0.25">
      <c r="A885" s="530"/>
      <c r="B885" s="381" t="s">
        <v>28</v>
      </c>
      <c r="C885" s="404"/>
      <c r="D885" s="401"/>
      <c r="E885" s="401"/>
      <c r="F885" s="401">
        <f>'2017'!F707+'2018'!F700</f>
        <v>59804.97</v>
      </c>
    </row>
    <row r="886" spans="1:6" x14ac:dyDescent="0.25">
      <c r="A886" s="530"/>
      <c r="B886" s="381" t="s">
        <v>29</v>
      </c>
      <c r="C886" s="401">
        <v>102216</v>
      </c>
      <c r="D886" s="401">
        <v>118000</v>
      </c>
      <c r="E886" s="401">
        <f>C886+'2017'!E708+'2018'!E701</f>
        <v>202216</v>
      </c>
      <c r="F886" s="401">
        <f>D886+140000+37048</f>
        <v>295048</v>
      </c>
    </row>
    <row r="887" spans="1:6" x14ac:dyDescent="0.25">
      <c r="A887" s="530"/>
      <c r="B887" s="381" t="s">
        <v>30</v>
      </c>
      <c r="C887" s="401">
        <v>1328511</v>
      </c>
      <c r="D887" s="385">
        <v>1328518.22</v>
      </c>
      <c r="E887" s="401">
        <f>C887+'2017'!E709+'2018'!E702</f>
        <v>3115508</v>
      </c>
      <c r="F887" s="401">
        <f>D887+1013172.31+751800</f>
        <v>3093490.5300000003</v>
      </c>
    </row>
    <row r="888" spans="1:6" x14ac:dyDescent="0.25">
      <c r="A888" s="530"/>
      <c r="B888" s="381" t="s">
        <v>31</v>
      </c>
      <c r="C888" s="401">
        <v>400000</v>
      </c>
      <c r="D888" s="385">
        <v>319632.96000000002</v>
      </c>
      <c r="E888" s="401">
        <f>C888+'2017'!E710+'2018'!E703</f>
        <v>1266140.3</v>
      </c>
      <c r="F888" s="401">
        <f>D888+32132.44+294420.39</f>
        <v>646185.79</v>
      </c>
    </row>
    <row r="889" spans="1:6" x14ac:dyDescent="0.25">
      <c r="A889" s="530"/>
      <c r="B889" s="381" t="s">
        <v>32</v>
      </c>
      <c r="C889" s="401">
        <v>285000</v>
      </c>
      <c r="D889" s="385">
        <v>292000</v>
      </c>
      <c r="E889" s="401">
        <f>C889+'2017'!E711+'2018'!E704</f>
        <v>490416</v>
      </c>
      <c r="F889" s="401">
        <f>D889+205416</f>
        <v>497416</v>
      </c>
    </row>
    <row r="890" spans="1:6" x14ac:dyDescent="0.25">
      <c r="A890" s="530"/>
      <c r="B890" s="381" t="s">
        <v>33</v>
      </c>
      <c r="C890" s="401">
        <v>149026</v>
      </c>
      <c r="D890" s="385">
        <v>309475.03999999998</v>
      </c>
      <c r="E890" s="401">
        <f>C890+'2017'!E712+'2018'!E705</f>
        <v>338785</v>
      </c>
      <c r="F890" s="401">
        <f>D890+'2017'!F712+'2018'!F705</f>
        <v>526816.04</v>
      </c>
    </row>
    <row r="891" spans="1:6" x14ac:dyDescent="0.25">
      <c r="A891" s="530"/>
      <c r="B891" s="381" t="s">
        <v>34</v>
      </c>
      <c r="C891" s="401">
        <v>1098800</v>
      </c>
      <c r="D891" s="385">
        <v>586998.34</v>
      </c>
      <c r="E891" s="401">
        <f>C891+'2017'!E713+'2018'!E706</f>
        <v>8868380</v>
      </c>
      <c r="F891" s="401">
        <f>D891+10957765.32+1064841.56</f>
        <v>12609605.220000001</v>
      </c>
    </row>
    <row r="892" spans="1:6" ht="30" x14ac:dyDescent="0.25">
      <c r="A892" s="530" t="s">
        <v>675</v>
      </c>
      <c r="B892" s="384" t="s">
        <v>314</v>
      </c>
      <c r="C892" s="401">
        <f>C893</f>
        <v>2048385.79</v>
      </c>
      <c r="D892" s="401">
        <f>D893</f>
        <v>2040908.6600000001</v>
      </c>
      <c r="E892" s="401">
        <f>E893</f>
        <v>4408993.1500000004</v>
      </c>
      <c r="F892" s="401">
        <f>F893</f>
        <v>4659751.47</v>
      </c>
    </row>
    <row r="893" spans="1:6" x14ac:dyDescent="0.25">
      <c r="A893" s="530"/>
      <c r="B893" s="387" t="s">
        <v>312</v>
      </c>
      <c r="C893" s="404">
        <f>C894+C895+C896+C897+C898+C899+C900</f>
        <v>2048385.79</v>
      </c>
      <c r="D893" s="404">
        <f>D894+D895+D896+D897+D898+D899+D900</f>
        <v>2040908.6600000001</v>
      </c>
      <c r="E893" s="404">
        <f>E894+E895+E896+E897+E898+E899+E900</f>
        <v>4408993.1500000004</v>
      </c>
      <c r="F893" s="404">
        <f>F894+F895+F896+F897+F898+F899+F900</f>
        <v>4659751.47</v>
      </c>
    </row>
    <row r="894" spans="1:6" x14ac:dyDescent="0.25">
      <c r="A894" s="530"/>
      <c r="B894" s="381" t="s">
        <v>28</v>
      </c>
      <c r="C894" s="401">
        <v>8500</v>
      </c>
      <c r="D894" s="385">
        <v>59284</v>
      </c>
      <c r="E894" s="401">
        <f>C894+'2017'!E716+'2018'!E709</f>
        <v>17000</v>
      </c>
      <c r="F894" s="401">
        <f>D894+13039+1000</f>
        <v>73323</v>
      </c>
    </row>
    <row r="895" spans="1:6" x14ac:dyDescent="0.25">
      <c r="A895" s="530"/>
      <c r="B895" s="381" t="s">
        <v>29</v>
      </c>
      <c r="C895" s="401">
        <v>539620.99</v>
      </c>
      <c r="D895" s="385">
        <v>543375.79</v>
      </c>
      <c r="E895" s="401">
        <f>C895+'2017'!E717+'2018'!E710</f>
        <v>821567.99</v>
      </c>
      <c r="F895" s="401">
        <f>D895+286473.91+10000</f>
        <v>839849.7</v>
      </c>
    </row>
    <row r="896" spans="1:6" x14ac:dyDescent="0.25">
      <c r="A896" s="530"/>
      <c r="B896" s="381" t="s">
        <v>30</v>
      </c>
      <c r="C896" s="401">
        <v>61008.800000000003</v>
      </c>
      <c r="D896" s="385">
        <v>59031.58</v>
      </c>
      <c r="E896" s="401">
        <f>C896+'2018'!E711</f>
        <v>88824.760000000009</v>
      </c>
      <c r="F896" s="401">
        <f>D896+27554.65</f>
        <v>86586.23000000001</v>
      </c>
    </row>
    <row r="897" spans="1:6" x14ac:dyDescent="0.25">
      <c r="A897" s="530"/>
      <c r="B897" s="381" t="s">
        <v>31</v>
      </c>
      <c r="C897" s="401">
        <v>221500</v>
      </c>
      <c r="D897" s="385">
        <v>219996.86</v>
      </c>
      <c r="E897" s="401">
        <f>C897+'2017'!E718+'2018'!E712</f>
        <v>334800</v>
      </c>
      <c r="F897" s="401">
        <f>D897+63225.75+67340</f>
        <v>350562.61</v>
      </c>
    </row>
    <row r="898" spans="1:6" x14ac:dyDescent="0.25">
      <c r="A898" s="530"/>
      <c r="B898" s="381" t="s">
        <v>32</v>
      </c>
      <c r="C898" s="401">
        <v>428847</v>
      </c>
      <c r="D898" s="385">
        <v>442887</v>
      </c>
      <c r="E898" s="401">
        <f>C898+'2017'!E719+'2018'!E713</f>
        <v>926372</v>
      </c>
      <c r="F898" s="401">
        <f>D898+88250.84+423725</f>
        <v>954862.84</v>
      </c>
    </row>
    <row r="899" spans="1:6" x14ac:dyDescent="0.25">
      <c r="A899" s="530"/>
      <c r="B899" s="381" t="s">
        <v>33</v>
      </c>
      <c r="C899" s="401">
        <v>92000</v>
      </c>
      <c r="D899" s="385">
        <v>91133.33</v>
      </c>
      <c r="E899" s="401">
        <f>C899+'2017'!E720+'2018'!E714</f>
        <v>310270</v>
      </c>
      <c r="F899" s="401">
        <f>D899+'2017'!F720+'2018'!F714</f>
        <v>303855.40000000002</v>
      </c>
    </row>
    <row r="900" spans="1:6" x14ac:dyDescent="0.25">
      <c r="A900" s="530"/>
      <c r="B900" s="381" t="s">
        <v>34</v>
      </c>
      <c r="C900" s="401">
        <v>696909</v>
      </c>
      <c r="D900" s="385">
        <v>625200.1</v>
      </c>
      <c r="E900" s="401">
        <f>C900+'2017'!E721+'2018'!E715</f>
        <v>1910158.4</v>
      </c>
      <c r="F900" s="401">
        <f>D900+617198.37+808313.22</f>
        <v>2050711.69</v>
      </c>
    </row>
    <row r="901" spans="1:6" ht="60" x14ac:dyDescent="0.25">
      <c r="A901" s="530" t="s">
        <v>676</v>
      </c>
      <c r="B901" s="384" t="s">
        <v>315</v>
      </c>
      <c r="C901" s="401">
        <f>C902</f>
        <v>931392.95</v>
      </c>
      <c r="D901" s="401">
        <f>D902</f>
        <v>2050952.8000000003</v>
      </c>
      <c r="E901" s="401">
        <f>E902</f>
        <v>1636675.15</v>
      </c>
      <c r="F901" s="401">
        <f>F902</f>
        <v>2960863.65</v>
      </c>
    </row>
    <row r="902" spans="1:6" x14ac:dyDescent="0.25">
      <c r="A902" s="530"/>
      <c r="B902" s="387" t="s">
        <v>312</v>
      </c>
      <c r="C902" s="404">
        <f>C903+C904+C905+C906+C907</f>
        <v>931392.95</v>
      </c>
      <c r="D902" s="404">
        <f>D903+D904+D905+D906+D907</f>
        <v>2050952.8000000003</v>
      </c>
      <c r="E902" s="404">
        <f>E903+E904+E905+E906+E907</f>
        <v>1636675.15</v>
      </c>
      <c r="F902" s="404">
        <f>F903+F904+F905+F906+F907</f>
        <v>2960863.65</v>
      </c>
    </row>
    <row r="903" spans="1:6" x14ac:dyDescent="0.25">
      <c r="A903" s="530"/>
      <c r="B903" s="381" t="s">
        <v>29</v>
      </c>
      <c r="C903" s="401">
        <v>221162</v>
      </c>
      <c r="D903" s="385">
        <v>323207</v>
      </c>
      <c r="E903" s="401">
        <f>C903+'2017'!E724+'2018'!E718</f>
        <v>568444.19999999995</v>
      </c>
      <c r="F903" s="401">
        <f>D903+211107.72+242280.47</f>
        <v>776595.19</v>
      </c>
    </row>
    <row r="904" spans="1:6" x14ac:dyDescent="0.25">
      <c r="A904" s="530"/>
      <c r="B904" s="381" t="s">
        <v>31</v>
      </c>
      <c r="C904" s="401">
        <v>1332</v>
      </c>
      <c r="D904" s="401">
        <v>1332</v>
      </c>
      <c r="E904" s="401">
        <f>C904+'2018'!E720</f>
        <v>1332</v>
      </c>
      <c r="F904" s="401">
        <f>D904+3580.2</f>
        <v>4912.2</v>
      </c>
    </row>
    <row r="905" spans="1:6" x14ac:dyDescent="0.25">
      <c r="A905" s="530"/>
      <c r="B905" s="381" t="s">
        <v>32</v>
      </c>
      <c r="C905" s="401">
        <v>27500</v>
      </c>
      <c r="D905" s="385">
        <v>85484.55</v>
      </c>
      <c r="E905" s="401">
        <f>C905</f>
        <v>27500</v>
      </c>
      <c r="F905" s="401">
        <f>D905</f>
        <v>85484.55</v>
      </c>
    </row>
    <row r="906" spans="1:6" x14ac:dyDescent="0.25">
      <c r="A906" s="530"/>
      <c r="B906" s="381" t="s">
        <v>33</v>
      </c>
      <c r="C906" s="401">
        <v>527398.94999999995</v>
      </c>
      <c r="D906" s="385">
        <v>1271210.8500000001</v>
      </c>
      <c r="E906" s="401">
        <f>C906+'2018'!E721</f>
        <v>527398.94999999995</v>
      </c>
      <c r="F906" s="401">
        <f>D906+'2018'!F721</f>
        <v>1318614.31</v>
      </c>
    </row>
    <row r="907" spans="1:6" x14ac:dyDescent="0.25">
      <c r="A907" s="530"/>
      <c r="B907" s="381" t="s">
        <v>34</v>
      </c>
      <c r="C907" s="401">
        <v>154000</v>
      </c>
      <c r="D907" s="385">
        <v>369718.4</v>
      </c>
      <c r="E907" s="401">
        <f>C907+'2017'!E725+'2018'!E719</f>
        <v>512000</v>
      </c>
      <c r="F907" s="401">
        <f>D907+297539+108000</f>
        <v>775257.4</v>
      </c>
    </row>
    <row r="908" spans="1:6" x14ac:dyDescent="0.25">
      <c r="A908" s="530" t="s">
        <v>671</v>
      </c>
      <c r="B908" s="381" t="s">
        <v>316</v>
      </c>
      <c r="C908" s="401">
        <f>C909</f>
        <v>1325400</v>
      </c>
      <c r="D908" s="401">
        <f>D909</f>
        <v>2030400</v>
      </c>
      <c r="E908" s="401">
        <f>E909</f>
        <v>4319500</v>
      </c>
      <c r="F908" s="401">
        <f>F909</f>
        <v>5019500</v>
      </c>
    </row>
    <row r="909" spans="1:6" x14ac:dyDescent="0.25">
      <c r="A909" s="530"/>
      <c r="B909" s="387" t="s">
        <v>312</v>
      </c>
      <c r="C909" s="404">
        <f>C910+C911</f>
        <v>1325400</v>
      </c>
      <c r="D909" s="404">
        <f>D910+D911</f>
        <v>2030400</v>
      </c>
      <c r="E909" s="404">
        <f>E910+E911</f>
        <v>4319500</v>
      </c>
      <c r="F909" s="404">
        <f>F910+F911</f>
        <v>5019500</v>
      </c>
    </row>
    <row r="910" spans="1:6" x14ac:dyDescent="0.25">
      <c r="A910" s="530"/>
      <c r="B910" s="381" t="s">
        <v>32</v>
      </c>
      <c r="C910" s="401">
        <v>1325400</v>
      </c>
      <c r="D910" s="385">
        <v>2030400</v>
      </c>
      <c r="E910" s="401">
        <f>C910+'2017'!E728+'2018'!E724</f>
        <v>4300500</v>
      </c>
      <c r="F910" s="401">
        <f>D910+1395900+1579200</f>
        <v>5005500</v>
      </c>
    </row>
    <row r="911" spans="1:6" x14ac:dyDescent="0.25">
      <c r="A911" s="530"/>
      <c r="B911" s="381" t="s">
        <v>34</v>
      </c>
      <c r="C911" s="401"/>
      <c r="D911" s="385"/>
      <c r="E911" s="401">
        <f>'2017'!E729</f>
        <v>19000</v>
      </c>
      <c r="F911" s="401">
        <v>14000</v>
      </c>
    </row>
    <row r="912" spans="1:6" x14ac:dyDescent="0.25">
      <c r="A912" s="530"/>
      <c r="B912" s="381" t="s">
        <v>563</v>
      </c>
      <c r="C912" s="401">
        <f t="shared" ref="C912:F913" si="12">C913</f>
        <v>420000</v>
      </c>
      <c r="D912" s="401">
        <f t="shared" si="12"/>
        <v>284881.40999999997</v>
      </c>
      <c r="E912" s="401">
        <f t="shared" si="12"/>
        <v>422000</v>
      </c>
      <c r="F912" s="401">
        <f t="shared" si="12"/>
        <v>286881.40999999997</v>
      </c>
    </row>
    <row r="913" spans="1:6" x14ac:dyDescent="0.25">
      <c r="A913" s="530"/>
      <c r="B913" s="387" t="s">
        <v>312</v>
      </c>
      <c r="C913" s="404">
        <f t="shared" si="12"/>
        <v>420000</v>
      </c>
      <c r="D913" s="404">
        <f t="shared" si="12"/>
        <v>284881.40999999997</v>
      </c>
      <c r="E913" s="404">
        <f t="shared" si="12"/>
        <v>422000</v>
      </c>
      <c r="F913" s="404">
        <f t="shared" si="12"/>
        <v>286881.40999999997</v>
      </c>
    </row>
    <row r="914" spans="1:6" x14ac:dyDescent="0.25">
      <c r="A914" s="530"/>
      <c r="B914" s="381" t="s">
        <v>32</v>
      </c>
      <c r="C914" s="401">
        <v>420000</v>
      </c>
      <c r="D914" s="385">
        <v>284881.40999999997</v>
      </c>
      <c r="E914" s="401">
        <f>C914+'2017'!E732</f>
        <v>422000</v>
      </c>
      <c r="F914" s="401">
        <f>D914+2000</f>
        <v>286881.40999999997</v>
      </c>
    </row>
    <row r="915" spans="1:6" ht="60" x14ac:dyDescent="0.25">
      <c r="A915" s="530" t="s">
        <v>672</v>
      </c>
      <c r="B915" s="384" t="s">
        <v>318</v>
      </c>
      <c r="C915" s="401">
        <f>C916</f>
        <v>7000</v>
      </c>
      <c r="D915" s="401">
        <f>D916</f>
        <v>11800</v>
      </c>
      <c r="E915" s="401">
        <f>E916</f>
        <v>39500</v>
      </c>
      <c r="F915" s="401">
        <f>F916</f>
        <v>44090</v>
      </c>
    </row>
    <row r="916" spans="1:6" x14ac:dyDescent="0.25">
      <c r="A916" s="530"/>
      <c r="B916" s="387" t="s">
        <v>312</v>
      </c>
      <c r="C916" s="404">
        <f>C917+C918+C919+C920+C921</f>
        <v>7000</v>
      </c>
      <c r="D916" s="404">
        <f>D917+D918+D919+D920+D921</f>
        <v>11800</v>
      </c>
      <c r="E916" s="404">
        <f>E917+E918+E919+E920+E921</f>
        <v>39500</v>
      </c>
      <c r="F916" s="404">
        <f>F917+F918+F919+F920+F921</f>
        <v>44090</v>
      </c>
    </row>
    <row r="917" spans="1:6" x14ac:dyDescent="0.25">
      <c r="A917" s="530"/>
      <c r="B917" s="381" t="s">
        <v>28</v>
      </c>
      <c r="C917" s="401">
        <v>2000</v>
      </c>
      <c r="D917" s="401">
        <v>2000</v>
      </c>
      <c r="E917" s="401">
        <f>C917+'2017'!E735+'2018'!E727</f>
        <v>4000</v>
      </c>
      <c r="F917" s="401">
        <f>D917+1000+790</f>
        <v>3790</v>
      </c>
    </row>
    <row r="918" spans="1:6" x14ac:dyDescent="0.25">
      <c r="A918" s="530"/>
      <c r="B918" s="381" t="s">
        <v>29</v>
      </c>
      <c r="C918" s="401"/>
      <c r="D918" s="440"/>
      <c r="E918" s="401">
        <f>'2017'!E736</f>
        <v>2500</v>
      </c>
      <c r="F918" s="401">
        <f>'2017'!F736</f>
        <v>2500</v>
      </c>
    </row>
    <row r="919" spans="1:6" x14ac:dyDescent="0.25">
      <c r="A919" s="530"/>
      <c r="B919" s="381" t="s">
        <v>31</v>
      </c>
      <c r="C919" s="401">
        <v>5000</v>
      </c>
      <c r="D919" s="440">
        <v>5000</v>
      </c>
      <c r="E919" s="401">
        <f>C919</f>
        <v>5000</v>
      </c>
      <c r="F919" s="401">
        <f>D919</f>
        <v>5000</v>
      </c>
    </row>
    <row r="920" spans="1:6" x14ac:dyDescent="0.25">
      <c r="A920" s="530"/>
      <c r="B920" s="381" t="s">
        <v>32</v>
      </c>
      <c r="C920" s="401"/>
      <c r="D920" s="385">
        <v>4800</v>
      </c>
      <c r="E920" s="401">
        <f>'2017'!E737+'2018'!E728</f>
        <v>20000</v>
      </c>
      <c r="F920" s="401">
        <f>D920+10000+10000</f>
        <v>24800</v>
      </c>
    </row>
    <row r="921" spans="1:6" x14ac:dyDescent="0.25">
      <c r="A921" s="530"/>
      <c r="B921" s="381" t="s">
        <v>33</v>
      </c>
      <c r="C921" s="401"/>
      <c r="D921" s="440"/>
      <c r="E921" s="401">
        <f>'2018'!E729</f>
        <v>8000</v>
      </c>
      <c r="F921" s="401">
        <f>'2018'!F729</f>
        <v>8000</v>
      </c>
    </row>
    <row r="922" spans="1:6" ht="30" x14ac:dyDescent="0.25">
      <c r="A922" s="530" t="s">
        <v>670</v>
      </c>
      <c r="B922" s="384" t="s">
        <v>319</v>
      </c>
      <c r="C922" s="401">
        <f>C923</f>
        <v>1533696.44</v>
      </c>
      <c r="D922" s="401">
        <f>D923</f>
        <v>1961274.6099999999</v>
      </c>
      <c r="E922" s="401">
        <f>E923</f>
        <v>4324760.53</v>
      </c>
      <c r="F922" s="401">
        <f>F923</f>
        <v>5132761.87</v>
      </c>
    </row>
    <row r="923" spans="1:6" x14ac:dyDescent="0.25">
      <c r="A923" s="530"/>
      <c r="B923" s="387" t="s">
        <v>312</v>
      </c>
      <c r="C923" s="404">
        <f>C924+C925+C926+C927+C928+C929+C930</f>
        <v>1533696.44</v>
      </c>
      <c r="D923" s="404">
        <f>D924+D925+D926+D927+D928+D929+D930</f>
        <v>1961274.6099999999</v>
      </c>
      <c r="E923" s="404">
        <f>E924+E925+E926+E927+E928+E929+E930</f>
        <v>4324760.53</v>
      </c>
      <c r="F923" s="404">
        <f>F924+F925+F926+F927+F928+F929+F930</f>
        <v>5132761.87</v>
      </c>
    </row>
    <row r="924" spans="1:6" x14ac:dyDescent="0.25">
      <c r="A924" s="530"/>
      <c r="B924" s="381" t="s">
        <v>28</v>
      </c>
      <c r="C924" s="440">
        <v>238448</v>
      </c>
      <c r="D924" s="385">
        <v>264914</v>
      </c>
      <c r="E924" s="440">
        <f>C924+'2017'!E740+'2018'!E732</f>
        <v>1149107</v>
      </c>
      <c r="F924" s="440">
        <f>D924+170569.5+411584</f>
        <v>847067.5</v>
      </c>
    </row>
    <row r="925" spans="1:6" x14ac:dyDescent="0.25">
      <c r="A925" s="530"/>
      <c r="B925" s="381" t="s">
        <v>29</v>
      </c>
      <c r="C925" s="440">
        <v>16057.95</v>
      </c>
      <c r="D925" s="385">
        <v>45087.95</v>
      </c>
      <c r="E925" s="401">
        <f>C925+'2017'!E741+'2018'!E733</f>
        <v>26487.95</v>
      </c>
      <c r="F925" s="401">
        <f>D925+13881+3997</f>
        <v>62965.95</v>
      </c>
    </row>
    <row r="926" spans="1:6" x14ac:dyDescent="0.25">
      <c r="A926" s="530"/>
      <c r="B926" s="381" t="s">
        <v>30</v>
      </c>
      <c r="C926" s="440"/>
      <c r="D926" s="385"/>
      <c r="E926" s="401">
        <f>C926+'2018'!E734</f>
        <v>107782.09</v>
      </c>
      <c r="F926" s="401">
        <v>107782.09</v>
      </c>
    </row>
    <row r="927" spans="1:6" x14ac:dyDescent="0.25">
      <c r="A927" s="530"/>
      <c r="B927" s="381" t="s">
        <v>31</v>
      </c>
      <c r="C927" s="440">
        <v>272153.5</v>
      </c>
      <c r="D927" s="385">
        <v>351462</v>
      </c>
      <c r="E927" s="401">
        <f>C927+'2017'!E742+'2018'!E735</f>
        <v>812211</v>
      </c>
      <c r="F927" s="401">
        <f>D927+323679+435622.1</f>
        <v>1110763.1000000001</v>
      </c>
    </row>
    <row r="928" spans="1:6" x14ac:dyDescent="0.25">
      <c r="A928" s="530"/>
      <c r="B928" s="381" t="s">
        <v>32</v>
      </c>
      <c r="C928" s="440">
        <v>167293</v>
      </c>
      <c r="D928" s="385">
        <v>252653.5</v>
      </c>
      <c r="E928" s="401">
        <f>C928+'2017'!E743+'2018'!E736</f>
        <v>462624.5</v>
      </c>
      <c r="F928" s="401">
        <f>D928+242137+258715.57</f>
        <v>753506.07000000007</v>
      </c>
    </row>
    <row r="929" spans="1:6" x14ac:dyDescent="0.25">
      <c r="A929" s="530"/>
      <c r="B929" s="381" t="s">
        <v>33</v>
      </c>
      <c r="C929" s="440">
        <v>189743.99</v>
      </c>
      <c r="D929" s="385">
        <v>397157.16</v>
      </c>
      <c r="E929" s="401">
        <f>C929+'2017'!E744+'2018'!E737</f>
        <v>257847.99</v>
      </c>
      <c r="F929" s="401">
        <f>D929+'2017'!F744+'2018'!F737</f>
        <v>666677.15999999992</v>
      </c>
    </row>
    <row r="930" spans="1:6" x14ac:dyDescent="0.25">
      <c r="A930" s="530"/>
      <c r="B930" s="381" t="s">
        <v>34</v>
      </c>
      <c r="C930" s="440">
        <v>650000</v>
      </c>
      <c r="D930" s="385">
        <v>650000</v>
      </c>
      <c r="E930" s="401">
        <f>C930+'2017'!E745+'2018'!E738</f>
        <v>1508700</v>
      </c>
      <c r="F930" s="401">
        <f>D930+676000+258000</f>
        <v>1584000</v>
      </c>
    </row>
    <row r="931" spans="1:6" ht="45" x14ac:dyDescent="0.25">
      <c r="A931" s="530" t="s">
        <v>677</v>
      </c>
      <c r="B931" s="384" t="s">
        <v>320</v>
      </c>
      <c r="C931" s="401">
        <f>C932</f>
        <v>249092</v>
      </c>
      <c r="D931" s="401">
        <f>D932</f>
        <v>254087</v>
      </c>
      <c r="E931" s="401">
        <f>E932</f>
        <v>892855.6</v>
      </c>
      <c r="F931" s="401">
        <f>F932</f>
        <v>844780.64999999991</v>
      </c>
    </row>
    <row r="932" spans="1:6" x14ac:dyDescent="0.25">
      <c r="A932" s="530"/>
      <c r="B932" s="387" t="s">
        <v>312</v>
      </c>
      <c r="C932" s="404">
        <f>C933+C934+C935+C936+C937+C938+C939</f>
        <v>249092</v>
      </c>
      <c r="D932" s="404">
        <f>D933+D934+D935+D936+D937+D938+D939</f>
        <v>254087</v>
      </c>
      <c r="E932" s="404">
        <f>E933+E934+E935+E936+E937+E938+E939</f>
        <v>892855.6</v>
      </c>
      <c r="F932" s="404">
        <f>F933+F934+F935+F936+F937+F938+F939</f>
        <v>844780.64999999991</v>
      </c>
    </row>
    <row r="933" spans="1:6" x14ac:dyDescent="0.25">
      <c r="A933" s="530"/>
      <c r="B933" s="381" t="s">
        <v>28</v>
      </c>
      <c r="C933" s="401">
        <v>38410</v>
      </c>
      <c r="D933" s="385">
        <v>38540</v>
      </c>
      <c r="E933" s="401">
        <f>C933+'2017'!E748+'2018'!E741</f>
        <v>108255</v>
      </c>
      <c r="F933" s="401">
        <f>D933+36787+33548.2</f>
        <v>108875.2</v>
      </c>
    </row>
    <row r="934" spans="1:6" x14ac:dyDescent="0.25">
      <c r="A934" s="530"/>
      <c r="B934" s="381" t="s">
        <v>29</v>
      </c>
      <c r="C934" s="401">
        <v>3694</v>
      </c>
      <c r="D934" s="401">
        <v>3694</v>
      </c>
      <c r="E934" s="401">
        <f>C934+'2017'!E749+'2018'!E742</f>
        <v>77752</v>
      </c>
      <c r="F934" s="401">
        <f>D934+11355+25955</f>
        <v>41004</v>
      </c>
    </row>
    <row r="935" spans="1:6" x14ac:dyDescent="0.25">
      <c r="A935" s="530"/>
      <c r="B935" s="381" t="s">
        <v>30</v>
      </c>
      <c r="C935" s="401">
        <v>10000</v>
      </c>
      <c r="D935" s="401">
        <v>10000</v>
      </c>
      <c r="E935" s="401">
        <f>C935+'2017'!E750+'2018'!E743</f>
        <v>65000</v>
      </c>
      <c r="F935" s="401">
        <f>D935+10000+44228</f>
        <v>64228</v>
      </c>
    </row>
    <row r="936" spans="1:6" x14ac:dyDescent="0.25">
      <c r="A936" s="530"/>
      <c r="B936" s="381" t="s">
        <v>31</v>
      </c>
      <c r="C936" s="401">
        <v>5000</v>
      </c>
      <c r="D936" s="385">
        <v>5000</v>
      </c>
      <c r="E936" s="401">
        <f>C936+'2017'!E751+'2018'!E744</f>
        <v>29750</v>
      </c>
      <c r="F936" s="401">
        <f>D936+5670+17145</f>
        <v>27815</v>
      </c>
    </row>
    <row r="937" spans="1:6" x14ac:dyDescent="0.25">
      <c r="A937" s="530"/>
      <c r="B937" s="381" t="s">
        <v>32</v>
      </c>
      <c r="C937" s="401">
        <v>30000</v>
      </c>
      <c r="D937" s="385">
        <v>34865</v>
      </c>
      <c r="E937" s="401">
        <f>C937+'2017'!E752+'2018'!E745</f>
        <v>100900</v>
      </c>
      <c r="F937" s="401">
        <f>D937+40900+29941.11</f>
        <v>105706.11</v>
      </c>
    </row>
    <row r="938" spans="1:6" x14ac:dyDescent="0.25">
      <c r="A938" s="530"/>
      <c r="B938" s="381" t="s">
        <v>33</v>
      </c>
      <c r="C938" s="401">
        <v>66988</v>
      </c>
      <c r="D938" s="385">
        <v>66988</v>
      </c>
      <c r="E938" s="401">
        <f>C938+'2017'!E753+'2018'!E746</f>
        <v>188204</v>
      </c>
      <c r="F938" s="401">
        <f>D938+'2017'!F753+'2018'!F746</f>
        <v>188196.36</v>
      </c>
    </row>
    <row r="939" spans="1:6" x14ac:dyDescent="0.25">
      <c r="A939" s="530"/>
      <c r="B939" s="381" t="s">
        <v>34</v>
      </c>
      <c r="C939" s="401">
        <v>95000</v>
      </c>
      <c r="D939" s="385">
        <v>95000</v>
      </c>
      <c r="E939" s="401">
        <f>C939+'2017'!E754+'2018'!E747</f>
        <v>322994.59999999998</v>
      </c>
      <c r="F939" s="401">
        <f>D939+113330+100625.98</f>
        <v>308955.98</v>
      </c>
    </row>
    <row r="940" spans="1:6" ht="30" x14ac:dyDescent="0.25">
      <c r="A940" s="530" t="s">
        <v>673</v>
      </c>
      <c r="B940" s="384" t="s">
        <v>321</v>
      </c>
      <c r="C940" s="401">
        <f>C941</f>
        <v>1820</v>
      </c>
      <c r="D940" s="401">
        <f>D941</f>
        <v>1690</v>
      </c>
      <c r="E940" s="401">
        <f>E941</f>
        <v>4740</v>
      </c>
      <c r="F940" s="401">
        <f>F941</f>
        <v>3365.2</v>
      </c>
    </row>
    <row r="941" spans="1:6" s="155" customFormat="1" x14ac:dyDescent="0.25">
      <c r="A941" s="530"/>
      <c r="B941" s="387" t="s">
        <v>27</v>
      </c>
      <c r="C941" s="404">
        <f>C942+C943</f>
        <v>1820</v>
      </c>
      <c r="D941" s="404">
        <f>D942+D943</f>
        <v>1690</v>
      </c>
      <c r="E941" s="404">
        <f>E942+E943</f>
        <v>4740</v>
      </c>
      <c r="F941" s="404">
        <f>F942+F943</f>
        <v>3365.2</v>
      </c>
    </row>
    <row r="942" spans="1:6" x14ac:dyDescent="0.25">
      <c r="A942" s="530"/>
      <c r="B942" s="381" t="s">
        <v>28</v>
      </c>
      <c r="C942" s="401">
        <v>1400</v>
      </c>
      <c r="D942" s="385">
        <v>1270</v>
      </c>
      <c r="E942" s="401">
        <f>C942+'2017'!E757+'2018'!E750</f>
        <v>3900</v>
      </c>
      <c r="F942" s="401">
        <f>D942+953+722.2</f>
        <v>2945.2</v>
      </c>
    </row>
    <row r="943" spans="1:6" x14ac:dyDescent="0.25">
      <c r="A943" s="530"/>
      <c r="B943" s="381" t="s">
        <v>31</v>
      </c>
      <c r="C943" s="401">
        <v>420</v>
      </c>
      <c r="D943" s="385">
        <v>420</v>
      </c>
      <c r="E943" s="401">
        <f>C943+'2018'!E751</f>
        <v>840</v>
      </c>
      <c r="F943" s="401">
        <v>420</v>
      </c>
    </row>
    <row r="944" spans="1:6" ht="30" x14ac:dyDescent="0.25">
      <c r="A944" s="530" t="s">
        <v>678</v>
      </c>
      <c r="B944" s="384" t="s">
        <v>571</v>
      </c>
      <c r="C944" s="401"/>
      <c r="D944" s="385"/>
      <c r="E944" s="401">
        <f>E945</f>
        <v>97376.05</v>
      </c>
      <c r="F944" s="401">
        <f>F945</f>
        <v>257376.05</v>
      </c>
    </row>
    <row r="945" spans="1:6" x14ac:dyDescent="0.25">
      <c r="A945" s="530"/>
      <c r="B945" s="387" t="s">
        <v>27</v>
      </c>
      <c r="C945" s="401"/>
      <c r="D945" s="385"/>
      <c r="E945" s="404">
        <f>E946</f>
        <v>97376.05</v>
      </c>
      <c r="F945" s="404">
        <f>F946</f>
        <v>257376.05</v>
      </c>
    </row>
    <row r="946" spans="1:6" x14ac:dyDescent="0.25">
      <c r="A946" s="530"/>
      <c r="B946" s="381" t="s">
        <v>34</v>
      </c>
      <c r="C946" s="401"/>
      <c r="D946" s="385"/>
      <c r="E946" s="401">
        <f>'2017'!E760</f>
        <v>97376.05</v>
      </c>
      <c r="F946" s="401">
        <v>257376.05</v>
      </c>
    </row>
    <row r="947" spans="1:6" ht="75" x14ac:dyDescent="0.25">
      <c r="A947" s="530" t="s">
        <v>679</v>
      </c>
      <c r="B947" s="384" t="s">
        <v>515</v>
      </c>
      <c r="C947" s="401">
        <f>C948</f>
        <v>347829</v>
      </c>
      <c r="D947" s="401">
        <f>D948</f>
        <v>942280.26</v>
      </c>
      <c r="E947" s="401">
        <f>E948</f>
        <v>385729</v>
      </c>
      <c r="F947" s="401">
        <f>F948</f>
        <v>982072.26</v>
      </c>
    </row>
    <row r="948" spans="1:6" x14ac:dyDescent="0.25">
      <c r="A948" s="530"/>
      <c r="B948" s="387" t="s">
        <v>27</v>
      </c>
      <c r="C948" s="404">
        <f>C949+C950</f>
        <v>347829</v>
      </c>
      <c r="D948" s="404">
        <f>D949+D950</f>
        <v>942280.26</v>
      </c>
      <c r="E948" s="404">
        <f>E949+E950</f>
        <v>385729</v>
      </c>
      <c r="F948" s="404">
        <f>F949+F950</f>
        <v>982072.26</v>
      </c>
    </row>
    <row r="949" spans="1:6" x14ac:dyDescent="0.25">
      <c r="A949" s="530"/>
      <c r="B949" s="381" t="s">
        <v>31</v>
      </c>
      <c r="C949" s="401">
        <v>34829</v>
      </c>
      <c r="D949" s="385">
        <v>41989.36</v>
      </c>
      <c r="E949" s="401">
        <f>C949+'2018'!E754</f>
        <v>34829</v>
      </c>
      <c r="F949" s="401">
        <f>D949+1892</f>
        <v>43881.36</v>
      </c>
    </row>
    <row r="950" spans="1:6" x14ac:dyDescent="0.25">
      <c r="A950" s="530"/>
      <c r="B950" s="381" t="s">
        <v>34</v>
      </c>
      <c r="C950" s="401">
        <v>313000</v>
      </c>
      <c r="D950" s="385">
        <v>900290.9</v>
      </c>
      <c r="E950" s="401">
        <f>C950+'2018'!E755</f>
        <v>350900</v>
      </c>
      <c r="F950" s="401">
        <f>D950+37900</f>
        <v>938190.9</v>
      </c>
    </row>
    <row r="951" spans="1:6" ht="45" x14ac:dyDescent="0.25">
      <c r="A951" s="530" t="s">
        <v>680</v>
      </c>
      <c r="B951" s="384" t="s">
        <v>322</v>
      </c>
      <c r="C951" s="401">
        <f>C952</f>
        <v>858973.36</v>
      </c>
      <c r="D951" s="401">
        <f>D952</f>
        <v>856753.84</v>
      </c>
      <c r="E951" s="401">
        <f>E952</f>
        <v>2276828.86</v>
      </c>
      <c r="F951" s="401">
        <f>F952</f>
        <v>2300865.4899999998</v>
      </c>
    </row>
    <row r="952" spans="1:6" s="155" customFormat="1" x14ac:dyDescent="0.25">
      <c r="A952" s="530"/>
      <c r="B952" s="387" t="s">
        <v>27</v>
      </c>
      <c r="C952" s="404">
        <f>C953+C954+C955+C956+C957+C958</f>
        <v>858973.36</v>
      </c>
      <c r="D952" s="404">
        <f>D953+D954+D955+D956+D957+D958</f>
        <v>856753.84</v>
      </c>
      <c r="E952" s="404">
        <f>E953+E954+E955+E956+E957+E958</f>
        <v>2276828.86</v>
      </c>
      <c r="F952" s="404">
        <f>F953+F954+F955+F956+F957+F958</f>
        <v>2300865.4899999998</v>
      </c>
    </row>
    <row r="953" spans="1:6" x14ac:dyDescent="0.25">
      <c r="A953" s="530"/>
      <c r="B953" s="381" t="s">
        <v>28</v>
      </c>
      <c r="C953" s="401">
        <v>298250</v>
      </c>
      <c r="D953" s="385">
        <v>301839.03000000003</v>
      </c>
      <c r="E953" s="401">
        <f>C953+'2017'!E763+'2018'!E758</f>
        <v>784922</v>
      </c>
      <c r="F953" s="401">
        <f>D953+263531.7+247307.4</f>
        <v>812678.13</v>
      </c>
    </row>
    <row r="954" spans="1:6" x14ac:dyDescent="0.25">
      <c r="A954" s="530"/>
      <c r="B954" s="381" t="s">
        <v>29</v>
      </c>
      <c r="C954" s="401">
        <v>212479.2</v>
      </c>
      <c r="D954" s="385">
        <v>209929.38</v>
      </c>
      <c r="E954" s="401">
        <f>C954+'2017'!E764+'2018'!E759</f>
        <v>575854.19999999995</v>
      </c>
      <c r="F954" s="401">
        <f>D954+188102.08+169047.22</f>
        <v>567078.67999999993</v>
      </c>
    </row>
    <row r="955" spans="1:6" x14ac:dyDescent="0.25">
      <c r="A955" s="530"/>
      <c r="B955" s="381" t="s">
        <v>30</v>
      </c>
      <c r="C955" s="401">
        <v>77503</v>
      </c>
      <c r="D955" s="385">
        <v>77829.070000000007</v>
      </c>
      <c r="E955" s="401">
        <f>C955+'2017'!E765+'2018'!E760</f>
        <v>214374</v>
      </c>
      <c r="F955" s="401">
        <f>D955+73792.58+69899</f>
        <v>221520.65000000002</v>
      </c>
    </row>
    <row r="956" spans="1:6" x14ac:dyDescent="0.25">
      <c r="A956" s="530"/>
      <c r="B956" s="381" t="s">
        <v>31</v>
      </c>
      <c r="C956" s="401">
        <v>175002.16</v>
      </c>
      <c r="D956" s="385">
        <v>167504.57999999999</v>
      </c>
      <c r="E956" s="401">
        <f>C956+'2017'!E766+'2018'!E761</f>
        <v>459032.16000000003</v>
      </c>
      <c r="F956" s="401">
        <f>D956+148519.35+128722.78</f>
        <v>444746.70999999996</v>
      </c>
    </row>
    <row r="957" spans="1:6" x14ac:dyDescent="0.25">
      <c r="A957" s="530"/>
      <c r="B957" s="381" t="s">
        <v>32</v>
      </c>
      <c r="C957" s="401">
        <v>70761</v>
      </c>
      <c r="D957" s="385">
        <v>74673.78</v>
      </c>
      <c r="E957" s="401">
        <f>C957+'2017'!E767+'2018'!E762</f>
        <v>183432.5</v>
      </c>
      <c r="F957" s="401">
        <f>D957+68836.76+54363.97</f>
        <v>197874.50999999998</v>
      </c>
    </row>
    <row r="958" spans="1:6" x14ac:dyDescent="0.25">
      <c r="A958" s="530"/>
      <c r="B958" s="381" t="s">
        <v>33</v>
      </c>
      <c r="C958" s="401">
        <v>24978</v>
      </c>
      <c r="D958" s="401">
        <v>24978</v>
      </c>
      <c r="E958" s="401">
        <f>C958+'2017'!E768+'2018'!E763</f>
        <v>59214</v>
      </c>
      <c r="F958" s="401">
        <f>D958+'2017'!F768+'2018'!F763</f>
        <v>56966.81</v>
      </c>
    </row>
    <row r="959" spans="1:6" x14ac:dyDescent="0.25">
      <c r="A959" s="530" t="s">
        <v>681</v>
      </c>
      <c r="B959" s="384" t="s">
        <v>601</v>
      </c>
      <c r="C959" s="401">
        <f t="shared" ref="C959:F960" si="13">C960</f>
        <v>3321</v>
      </c>
      <c r="D959" s="401">
        <f t="shared" si="13"/>
        <v>3321</v>
      </c>
      <c r="E959" s="401">
        <f t="shared" si="13"/>
        <v>3321</v>
      </c>
      <c r="F959" s="401">
        <f t="shared" si="13"/>
        <v>3321</v>
      </c>
    </row>
    <row r="960" spans="1:6" x14ac:dyDescent="0.25">
      <c r="A960" s="530"/>
      <c r="B960" s="387" t="s">
        <v>27</v>
      </c>
      <c r="C960" s="404">
        <f t="shared" si="13"/>
        <v>3321</v>
      </c>
      <c r="D960" s="404">
        <f t="shared" si="13"/>
        <v>3321</v>
      </c>
      <c r="E960" s="404">
        <f t="shared" si="13"/>
        <v>3321</v>
      </c>
      <c r="F960" s="404">
        <f t="shared" si="13"/>
        <v>3321</v>
      </c>
    </row>
    <row r="961" spans="1:6" x14ac:dyDescent="0.25">
      <c r="A961" s="530"/>
      <c r="B961" s="381" t="s">
        <v>32</v>
      </c>
      <c r="C961" s="401">
        <v>3321</v>
      </c>
      <c r="D961" s="401">
        <v>3321</v>
      </c>
      <c r="E961" s="401">
        <f>C961</f>
        <v>3321</v>
      </c>
      <c r="F961" s="401">
        <f>D961</f>
        <v>3321</v>
      </c>
    </row>
    <row r="962" spans="1:6" x14ac:dyDescent="0.25">
      <c r="A962" s="530"/>
      <c r="B962" s="394" t="s">
        <v>323</v>
      </c>
      <c r="C962" s="406">
        <f>C963+C964</f>
        <v>19427995.589999996</v>
      </c>
      <c r="D962" s="406">
        <f>D963+D964</f>
        <v>21220863.550000001</v>
      </c>
      <c r="E962" s="406">
        <f>E963+E964</f>
        <v>59290023.490000002</v>
      </c>
      <c r="F962" s="406">
        <f>F963+F964</f>
        <v>64341621.139999993</v>
      </c>
    </row>
    <row r="963" spans="1:6" s="155" customFormat="1" x14ac:dyDescent="0.25">
      <c r="A963" s="530"/>
      <c r="B963" s="387" t="s">
        <v>13</v>
      </c>
      <c r="C963" s="404">
        <f>C858+C860+C862+C864</f>
        <v>4067028</v>
      </c>
      <c r="D963" s="404">
        <f>D858+D860+D862+D864</f>
        <v>4051226.14</v>
      </c>
      <c r="E963" s="404">
        <f>E858+E860+E862+E864</f>
        <v>11810429</v>
      </c>
      <c r="F963" s="404">
        <f>F858+F860+F862+F864</f>
        <v>11491660.140000001</v>
      </c>
    </row>
    <row r="964" spans="1:6" s="155" customFormat="1" x14ac:dyDescent="0.25">
      <c r="A964" s="530"/>
      <c r="B964" s="387" t="s">
        <v>22</v>
      </c>
      <c r="C964" s="404">
        <f>C875+C884+C893+C902+C909+C913+C916+C923+C932+C941+C945+C948+C952+C960</f>
        <v>15360967.589999998</v>
      </c>
      <c r="D964" s="404">
        <f>D875+D884+D893+D902+D909+D913+D916+D923+D932+D941+D945+D948+D952+D960</f>
        <v>17169637.41</v>
      </c>
      <c r="E964" s="404">
        <f>E875+E884+E893+E902+E909+E913+E916+E923+E932+E941+E945+E948+E952+E960</f>
        <v>47479594.490000002</v>
      </c>
      <c r="F964" s="404">
        <f>F875+F884+F893+F902+F909+F913+F916+F923+F932+F941+F945+F948+F952+F960</f>
        <v>52849960.999999993</v>
      </c>
    </row>
    <row r="965" spans="1:6" s="155" customFormat="1" ht="8.25" customHeight="1" x14ac:dyDescent="0.25">
      <c r="A965" s="530"/>
      <c r="B965" s="387"/>
      <c r="C965" s="404"/>
      <c r="D965" s="404"/>
      <c r="E965" s="391"/>
      <c r="F965" s="391"/>
    </row>
    <row r="966" spans="1:6" s="155" customFormat="1" x14ac:dyDescent="0.25">
      <c r="A966" s="561" t="s">
        <v>602</v>
      </c>
      <c r="B966" s="562"/>
      <c r="C966" s="562"/>
      <c r="D966" s="562"/>
      <c r="E966" s="562"/>
      <c r="F966" s="562"/>
    </row>
    <row r="967" spans="1:6" s="155" customFormat="1" ht="60" x14ac:dyDescent="0.25">
      <c r="A967" s="530">
        <v>275</v>
      </c>
      <c r="B967" s="384" t="s">
        <v>603</v>
      </c>
      <c r="C967" s="401">
        <f>C968</f>
        <v>23179.57</v>
      </c>
      <c r="D967" s="401">
        <f>D968</f>
        <v>23179.57</v>
      </c>
      <c r="E967" s="401">
        <f>E968</f>
        <v>23179.57</v>
      </c>
      <c r="F967" s="401">
        <f>F968</f>
        <v>23179.57</v>
      </c>
    </row>
    <row r="968" spans="1:6" s="155" customFormat="1" ht="45" x14ac:dyDescent="0.25">
      <c r="A968" s="530"/>
      <c r="B968" s="387" t="s">
        <v>611</v>
      </c>
      <c r="C968" s="404">
        <v>23179.57</v>
      </c>
      <c r="D968" s="404">
        <v>23179.57</v>
      </c>
      <c r="E968" s="404">
        <f>C968</f>
        <v>23179.57</v>
      </c>
      <c r="F968" s="404">
        <f>D968</f>
        <v>23179.57</v>
      </c>
    </row>
    <row r="969" spans="1:6" s="155" customFormat="1" ht="45" x14ac:dyDescent="0.25">
      <c r="A969" s="530">
        <v>276</v>
      </c>
      <c r="B969" s="384" t="s">
        <v>604</v>
      </c>
      <c r="C969" s="401">
        <f>C970</f>
        <v>3233128.33</v>
      </c>
      <c r="D969" s="401">
        <f>D970</f>
        <v>3160448.0500000003</v>
      </c>
      <c r="E969" s="401">
        <f>E970</f>
        <v>3233128.33</v>
      </c>
      <c r="F969" s="401">
        <f>F970</f>
        <v>3160448.0500000003</v>
      </c>
    </row>
    <row r="970" spans="1:6" s="155" customFormat="1" ht="48" customHeight="1" x14ac:dyDescent="0.25">
      <c r="A970" s="530"/>
      <c r="B970" s="387" t="s">
        <v>611</v>
      </c>
      <c r="C970" s="404">
        <f>C972+C973</f>
        <v>3233128.33</v>
      </c>
      <c r="D970" s="404">
        <f>D972+D973</f>
        <v>3160448.0500000003</v>
      </c>
      <c r="E970" s="404">
        <f>E972+E973</f>
        <v>3233128.33</v>
      </c>
      <c r="F970" s="404">
        <f>F972+F973</f>
        <v>3160448.0500000003</v>
      </c>
    </row>
    <row r="971" spans="1:6" s="155" customFormat="1" x14ac:dyDescent="0.25">
      <c r="A971" s="530"/>
      <c r="B971" s="387" t="s">
        <v>155</v>
      </c>
      <c r="C971" s="404"/>
      <c r="D971" s="404"/>
      <c r="E971" s="404"/>
      <c r="F971" s="404"/>
    </row>
    <row r="972" spans="1:6" s="155" customFormat="1" ht="46.5" customHeight="1" x14ac:dyDescent="0.25">
      <c r="A972" s="530"/>
      <c r="B972" s="387" t="s">
        <v>611</v>
      </c>
      <c r="C972" s="404">
        <v>36820.43</v>
      </c>
      <c r="D972" s="404">
        <v>36820.43</v>
      </c>
      <c r="E972" s="404">
        <f>C972</f>
        <v>36820.43</v>
      </c>
      <c r="F972" s="404">
        <f>D972</f>
        <v>36820.43</v>
      </c>
    </row>
    <row r="973" spans="1:6" s="155" customFormat="1" ht="60" x14ac:dyDescent="0.25">
      <c r="A973" s="530"/>
      <c r="B973" s="387" t="s">
        <v>612</v>
      </c>
      <c r="C973" s="404">
        <v>3196307.9</v>
      </c>
      <c r="D973" s="404">
        <v>3123627.62</v>
      </c>
      <c r="E973" s="404">
        <f>C973</f>
        <v>3196307.9</v>
      </c>
      <c r="F973" s="404">
        <f>D973</f>
        <v>3123627.62</v>
      </c>
    </row>
    <row r="974" spans="1:6" s="155" customFormat="1" ht="45" x14ac:dyDescent="0.25">
      <c r="A974" s="530">
        <v>277</v>
      </c>
      <c r="B974" s="384" t="s">
        <v>605</v>
      </c>
      <c r="C974" s="401">
        <f>C975</f>
        <v>86000</v>
      </c>
      <c r="D974" s="401">
        <f>D975</f>
        <v>1626.54</v>
      </c>
      <c r="E974" s="401">
        <f>E975</f>
        <v>86000</v>
      </c>
      <c r="F974" s="401">
        <f>F975</f>
        <v>1626.54</v>
      </c>
    </row>
    <row r="975" spans="1:6" s="155" customFormat="1" ht="60" x14ac:dyDescent="0.25">
      <c r="A975" s="530"/>
      <c r="B975" s="387" t="s">
        <v>612</v>
      </c>
      <c r="C975" s="404">
        <v>86000</v>
      </c>
      <c r="D975" s="404">
        <v>1626.54</v>
      </c>
      <c r="E975" s="404">
        <f>C975</f>
        <v>86000</v>
      </c>
      <c r="F975" s="404">
        <f>D975</f>
        <v>1626.54</v>
      </c>
    </row>
    <row r="976" spans="1:6" s="155" customFormat="1" ht="63" customHeight="1" x14ac:dyDescent="0.25">
      <c r="A976" s="530">
        <v>278</v>
      </c>
      <c r="B976" s="384" t="s">
        <v>606</v>
      </c>
      <c r="C976" s="401">
        <f>C977</f>
        <v>1000000</v>
      </c>
      <c r="D976" s="401">
        <f>D977</f>
        <v>0</v>
      </c>
      <c r="E976" s="401">
        <f>E977</f>
        <v>1000000</v>
      </c>
      <c r="F976" s="401">
        <f>F977</f>
        <v>0</v>
      </c>
    </row>
    <row r="977" spans="1:6" s="155" customFormat="1" ht="48" customHeight="1" x14ac:dyDescent="0.25">
      <c r="A977" s="530"/>
      <c r="B977" s="387" t="s">
        <v>611</v>
      </c>
      <c r="C977" s="404">
        <v>1000000</v>
      </c>
      <c r="D977" s="404"/>
      <c r="E977" s="404">
        <f>C977</f>
        <v>1000000</v>
      </c>
      <c r="F977" s="404"/>
    </row>
    <row r="978" spans="1:6" s="155" customFormat="1" ht="94.5" customHeight="1" x14ac:dyDescent="0.25">
      <c r="A978" s="530">
        <v>279</v>
      </c>
      <c r="B978" s="384" t="s">
        <v>607</v>
      </c>
      <c r="C978" s="401">
        <f>C979</f>
        <v>4465550.4000000004</v>
      </c>
      <c r="D978" s="401">
        <f>D979</f>
        <v>4465550.4000000004</v>
      </c>
      <c r="E978" s="401">
        <f>E979</f>
        <v>4465550.4000000004</v>
      </c>
      <c r="F978" s="401">
        <f>F979</f>
        <v>4465550.4000000004</v>
      </c>
    </row>
    <row r="979" spans="1:6" s="155" customFormat="1" ht="50.25" customHeight="1" x14ac:dyDescent="0.25">
      <c r="A979" s="530"/>
      <c r="B979" s="387" t="s">
        <v>611</v>
      </c>
      <c r="C979" s="404">
        <v>4465550.4000000004</v>
      </c>
      <c r="D979" s="404">
        <v>4465550.4000000004</v>
      </c>
      <c r="E979" s="404">
        <f>C979</f>
        <v>4465550.4000000004</v>
      </c>
      <c r="F979" s="404">
        <f>D979</f>
        <v>4465550.4000000004</v>
      </c>
    </row>
    <row r="980" spans="1:6" s="155" customFormat="1" ht="42.75" x14ac:dyDescent="0.25">
      <c r="A980" s="530"/>
      <c r="B980" s="394" t="s">
        <v>613</v>
      </c>
      <c r="C980" s="406">
        <f>C981+C982</f>
        <v>8807858.3000000007</v>
      </c>
      <c r="D980" s="406">
        <f>D981+D982</f>
        <v>7650804.5600000005</v>
      </c>
      <c r="E980" s="406">
        <f>E981+E982</f>
        <v>8807858.3000000007</v>
      </c>
      <c r="F980" s="406">
        <f>F981+F982</f>
        <v>7650804.5600000005</v>
      </c>
    </row>
    <row r="981" spans="1:6" s="155" customFormat="1" ht="50.25" customHeight="1" x14ac:dyDescent="0.25">
      <c r="A981" s="530"/>
      <c r="B981" s="387" t="s">
        <v>611</v>
      </c>
      <c r="C981" s="404">
        <f>C979+C977+C972+C968</f>
        <v>5525550.4000000004</v>
      </c>
      <c r="D981" s="404">
        <f>D979+D977+D972+D968</f>
        <v>4525550.4000000004</v>
      </c>
      <c r="E981" s="404">
        <f>C981</f>
        <v>5525550.4000000004</v>
      </c>
      <c r="F981" s="404">
        <f>D981</f>
        <v>4525550.4000000004</v>
      </c>
    </row>
    <row r="982" spans="1:6" s="155" customFormat="1" ht="67.5" customHeight="1" x14ac:dyDescent="0.25">
      <c r="A982" s="530"/>
      <c r="B982" s="387" t="s">
        <v>612</v>
      </c>
      <c r="C982" s="404">
        <f>C975+C973</f>
        <v>3282307.9</v>
      </c>
      <c r="D982" s="404">
        <f>D975+D973</f>
        <v>3125254.16</v>
      </c>
      <c r="E982" s="404">
        <f>C982</f>
        <v>3282307.9</v>
      </c>
      <c r="F982" s="404">
        <f>D982</f>
        <v>3125254.16</v>
      </c>
    </row>
    <row r="983" spans="1:6" s="155" customFormat="1" x14ac:dyDescent="0.25">
      <c r="A983" s="530"/>
      <c r="B983" s="387"/>
      <c r="C983" s="404"/>
      <c r="D983" s="404"/>
      <c r="E983" s="391"/>
      <c r="F983" s="391"/>
    </row>
    <row r="984" spans="1:6" s="155" customFormat="1" x14ac:dyDescent="0.25">
      <c r="A984" s="561" t="s">
        <v>614</v>
      </c>
      <c r="B984" s="562"/>
      <c r="C984" s="562"/>
      <c r="D984" s="562"/>
      <c r="E984" s="562"/>
      <c r="F984" s="562"/>
    </row>
    <row r="985" spans="1:6" s="155" customFormat="1" ht="75" x14ac:dyDescent="0.25">
      <c r="A985" s="530"/>
      <c r="B985" s="384" t="s">
        <v>40</v>
      </c>
      <c r="C985" s="404"/>
      <c r="D985" s="404"/>
      <c r="E985" s="401">
        <f>E986</f>
        <v>3671882.7</v>
      </c>
      <c r="F985" s="401">
        <f>F986</f>
        <v>3316577.9</v>
      </c>
    </row>
    <row r="986" spans="1:6" s="155" customFormat="1" x14ac:dyDescent="0.25">
      <c r="A986" s="530"/>
      <c r="B986" s="387" t="s">
        <v>13</v>
      </c>
      <c r="C986" s="404"/>
      <c r="D986" s="404"/>
      <c r="E986" s="404">
        <f>'2016'!E673</f>
        <v>3671882.7</v>
      </c>
      <c r="F986" s="404">
        <v>3316577.9</v>
      </c>
    </row>
    <row r="987" spans="1:6" s="155" customFormat="1" ht="75" x14ac:dyDescent="0.25">
      <c r="A987" s="530"/>
      <c r="B987" s="384" t="s">
        <v>428</v>
      </c>
      <c r="C987" s="404"/>
      <c r="D987" s="404"/>
      <c r="E987" s="401">
        <f>E988</f>
        <v>213540.4</v>
      </c>
      <c r="F987" s="401">
        <f>F988</f>
        <v>207825.4</v>
      </c>
    </row>
    <row r="988" spans="1:6" s="155" customFormat="1" x14ac:dyDescent="0.25">
      <c r="A988" s="530"/>
      <c r="B988" s="387" t="s">
        <v>13</v>
      </c>
      <c r="C988" s="404"/>
      <c r="D988" s="404"/>
      <c r="E988" s="404">
        <f>'2016'!E675</f>
        <v>213540.4</v>
      </c>
      <c r="F988" s="404">
        <v>207825.4</v>
      </c>
    </row>
    <row r="989" spans="1:6" s="155" customFormat="1" ht="60" x14ac:dyDescent="0.25">
      <c r="A989" s="530"/>
      <c r="B989" s="384" t="s">
        <v>41</v>
      </c>
      <c r="C989" s="404"/>
      <c r="D989" s="404"/>
      <c r="E989" s="401">
        <f>E990</f>
        <v>123770.3</v>
      </c>
      <c r="F989" s="401">
        <f>F990</f>
        <v>109905</v>
      </c>
    </row>
    <row r="990" spans="1:6" s="155" customFormat="1" x14ac:dyDescent="0.25">
      <c r="A990" s="530"/>
      <c r="B990" s="387" t="s">
        <v>13</v>
      </c>
      <c r="C990" s="404"/>
      <c r="D990" s="404"/>
      <c r="E990" s="404">
        <f>'2016'!E677</f>
        <v>123770.3</v>
      </c>
      <c r="F990" s="404">
        <v>109905</v>
      </c>
    </row>
    <row r="991" spans="1:6" s="155" customFormat="1" ht="30" x14ac:dyDescent="0.25">
      <c r="A991" s="530"/>
      <c r="B991" s="384" t="s">
        <v>42</v>
      </c>
      <c r="C991" s="404"/>
      <c r="D991" s="404"/>
      <c r="E991" s="401">
        <f>E992</f>
        <v>9922</v>
      </c>
      <c r="F991" s="401">
        <f>F992</f>
        <v>9922</v>
      </c>
    </row>
    <row r="992" spans="1:6" s="155" customFormat="1" x14ac:dyDescent="0.25">
      <c r="A992" s="530"/>
      <c r="B992" s="387" t="s">
        <v>13</v>
      </c>
      <c r="C992" s="404"/>
      <c r="D992" s="404"/>
      <c r="E992" s="404">
        <f>'2016'!E679</f>
        <v>9922</v>
      </c>
      <c r="F992" s="404">
        <f>'2016'!E679</f>
        <v>9922</v>
      </c>
    </row>
    <row r="993" spans="1:6" s="155" customFormat="1" ht="45" x14ac:dyDescent="0.25">
      <c r="A993" s="530"/>
      <c r="B993" s="384" t="s">
        <v>429</v>
      </c>
      <c r="C993" s="404"/>
      <c r="D993" s="404"/>
      <c r="E993" s="401">
        <f>E994</f>
        <v>246000</v>
      </c>
      <c r="F993" s="401">
        <f>F994</f>
        <v>246000</v>
      </c>
    </row>
    <row r="994" spans="1:6" s="155" customFormat="1" x14ac:dyDescent="0.25">
      <c r="A994" s="530"/>
      <c r="B994" s="387" t="s">
        <v>13</v>
      </c>
      <c r="C994" s="404"/>
      <c r="D994" s="404"/>
      <c r="E994" s="404">
        <f>'2016'!E681</f>
        <v>246000</v>
      </c>
      <c r="F994" s="404">
        <f>'2016'!E681</f>
        <v>246000</v>
      </c>
    </row>
    <row r="995" spans="1:6" s="155" customFormat="1" ht="45" x14ac:dyDescent="0.25">
      <c r="A995" s="530"/>
      <c r="B995" s="384" t="s">
        <v>43</v>
      </c>
      <c r="C995" s="404"/>
      <c r="D995" s="404"/>
      <c r="E995" s="401">
        <f>E996</f>
        <v>15556666</v>
      </c>
      <c r="F995" s="401">
        <f>F996</f>
        <v>15167248.599999998</v>
      </c>
    </row>
    <row r="996" spans="1:6" s="155" customFormat="1" x14ac:dyDescent="0.25">
      <c r="A996" s="530"/>
      <c r="B996" s="387" t="s">
        <v>312</v>
      </c>
      <c r="C996" s="404"/>
      <c r="D996" s="404"/>
      <c r="E996" s="404">
        <f>E997+E998+E999+E1000+E1001+E1002+E1003</f>
        <v>15556666</v>
      </c>
      <c r="F996" s="404">
        <f>F997+F998+F999+F1000+F1001+F1002+F1003</f>
        <v>15167248.599999998</v>
      </c>
    </row>
    <row r="997" spans="1:6" s="155" customFormat="1" x14ac:dyDescent="0.25">
      <c r="A997" s="530"/>
      <c r="B997" s="381" t="s">
        <v>28</v>
      </c>
      <c r="C997" s="404"/>
      <c r="D997" s="404"/>
      <c r="E997" s="404">
        <f>'2016'!E684</f>
        <v>1174405.6000000001</v>
      </c>
      <c r="F997" s="404">
        <v>1054853.5</v>
      </c>
    </row>
    <row r="998" spans="1:6" s="155" customFormat="1" x14ac:dyDescent="0.25">
      <c r="A998" s="530"/>
      <c r="B998" s="381" t="s">
        <v>29</v>
      </c>
      <c r="C998" s="404"/>
      <c r="D998" s="404"/>
      <c r="E998" s="404">
        <f>'2016'!E685</f>
        <v>585562.1</v>
      </c>
      <c r="F998" s="404">
        <v>585562.1</v>
      </c>
    </row>
    <row r="999" spans="1:6" s="155" customFormat="1" x14ac:dyDescent="0.25">
      <c r="A999" s="530"/>
      <c r="B999" s="381" t="s">
        <v>30</v>
      </c>
      <c r="C999" s="404"/>
      <c r="D999" s="404"/>
      <c r="E999" s="404">
        <f>'2016'!E686</f>
        <v>2390317.6</v>
      </c>
      <c r="F999" s="404">
        <v>1834128.26</v>
      </c>
    </row>
    <row r="1000" spans="1:6" s="155" customFormat="1" x14ac:dyDescent="0.25">
      <c r="A1000" s="530"/>
      <c r="B1000" s="381" t="s">
        <v>31</v>
      </c>
      <c r="C1000" s="404"/>
      <c r="D1000" s="404"/>
      <c r="E1000" s="404">
        <f>'2016'!E687</f>
        <v>1402856.9</v>
      </c>
      <c r="F1000" s="404">
        <v>1270856.8999999999</v>
      </c>
    </row>
    <row r="1001" spans="1:6" s="155" customFormat="1" x14ac:dyDescent="0.25">
      <c r="A1001" s="530"/>
      <c r="B1001" s="381" t="s">
        <v>32</v>
      </c>
      <c r="C1001" s="404"/>
      <c r="D1001" s="404"/>
      <c r="E1001" s="404">
        <f>'2016'!E688</f>
        <v>1678671.7</v>
      </c>
      <c r="F1001" s="404">
        <v>1693762.02</v>
      </c>
    </row>
    <row r="1002" spans="1:6" s="155" customFormat="1" x14ac:dyDescent="0.25">
      <c r="A1002" s="530"/>
      <c r="B1002" s="381" t="s">
        <v>33</v>
      </c>
      <c r="C1002" s="404"/>
      <c r="D1002" s="404"/>
      <c r="E1002" s="404">
        <f>'2016'!E689</f>
        <v>336155.9</v>
      </c>
      <c r="F1002" s="404">
        <v>359343.39</v>
      </c>
    </row>
    <row r="1003" spans="1:6" s="155" customFormat="1" x14ac:dyDescent="0.25">
      <c r="A1003" s="530"/>
      <c r="B1003" s="381" t="s">
        <v>34</v>
      </c>
      <c r="C1003" s="404"/>
      <c r="D1003" s="404"/>
      <c r="E1003" s="404">
        <f>'2016'!E690</f>
        <v>7988696.2000000002</v>
      </c>
      <c r="F1003" s="404">
        <v>8368742.4299999997</v>
      </c>
    </row>
    <row r="1004" spans="1:6" s="155" customFormat="1" x14ac:dyDescent="0.25">
      <c r="A1004" s="530"/>
      <c r="B1004" s="394" t="s">
        <v>431</v>
      </c>
      <c r="C1004" s="404"/>
      <c r="D1004" s="404"/>
      <c r="E1004" s="406">
        <f>E1005+E1006</f>
        <v>19821781.399999999</v>
      </c>
      <c r="F1004" s="406">
        <f>F1005+F1006</f>
        <v>19057478.899999999</v>
      </c>
    </row>
    <row r="1005" spans="1:6" s="155" customFormat="1" x14ac:dyDescent="0.25">
      <c r="A1005" s="530"/>
      <c r="B1005" s="387" t="s">
        <v>13</v>
      </c>
      <c r="C1005" s="404"/>
      <c r="D1005" s="404"/>
      <c r="E1005" s="404">
        <f>E986+E988+E990+E992+E994</f>
        <v>4265115.4000000004</v>
      </c>
      <c r="F1005" s="404">
        <f>F986+F988+F990+F992+F994</f>
        <v>3890230.3</v>
      </c>
    </row>
    <row r="1006" spans="1:6" x14ac:dyDescent="0.25">
      <c r="A1006" s="530"/>
      <c r="B1006" s="387" t="s">
        <v>615</v>
      </c>
      <c r="C1006" s="440"/>
      <c r="D1006" s="440"/>
      <c r="E1006" s="404">
        <f>E996</f>
        <v>15556666</v>
      </c>
      <c r="F1006" s="404">
        <f>F996</f>
        <v>15167248.599999998</v>
      </c>
    </row>
    <row r="1007" spans="1:6" ht="15.75" x14ac:dyDescent="0.25">
      <c r="A1007" s="530"/>
      <c r="B1007" s="476" t="s">
        <v>263</v>
      </c>
      <c r="C1007" s="406">
        <f>C1008+C1013+C1014+C1015</f>
        <v>155088385.53999999</v>
      </c>
      <c r="D1007" s="406">
        <f>D1008+D1013+D1014+D1015</f>
        <v>122135114.21000001</v>
      </c>
      <c r="E1007" s="406">
        <f>E1008+E1013+E1014+E1015</f>
        <v>403415740.44</v>
      </c>
      <c r="F1007" s="406">
        <f>F1008+F1013+F1014+F1015</f>
        <v>394867033.30000001</v>
      </c>
    </row>
    <row r="1008" spans="1:6" s="155" customFormat="1" ht="15.75" x14ac:dyDescent="0.25">
      <c r="A1008" s="530"/>
      <c r="B1008" s="477" t="s">
        <v>13</v>
      </c>
      <c r="C1008" s="404">
        <f>C80+C171+C242+C680+C851+C963+C980+C1005</f>
        <v>49152583.299999997</v>
      </c>
      <c r="D1008" s="404">
        <f>D80+D171+D242+D680+D851+D963+D980+D1005</f>
        <v>48161700.810000002</v>
      </c>
      <c r="E1008" s="404">
        <f>E80+E171+E242+E680+E851+E963+E980+E1005</f>
        <v>151758307.30000001</v>
      </c>
      <c r="F1008" s="404">
        <f>F80+F171+F242+F680+F851+F963+F980+F1005</f>
        <v>146715146.38</v>
      </c>
    </row>
    <row r="1009" spans="1:6" s="155" customFormat="1" ht="15.75" x14ac:dyDescent="0.25">
      <c r="A1009" s="530"/>
      <c r="B1009" s="477" t="s">
        <v>438</v>
      </c>
      <c r="C1009" s="404"/>
      <c r="D1009" s="404"/>
      <c r="E1009" s="391"/>
      <c r="F1009" s="391"/>
    </row>
    <row r="1010" spans="1:6" s="155" customFormat="1" ht="32.25" customHeight="1" x14ac:dyDescent="0.25">
      <c r="A1010" s="530"/>
      <c r="B1010" s="477" t="s">
        <v>439</v>
      </c>
      <c r="C1010" s="404">
        <f>C82</f>
        <v>403585</v>
      </c>
      <c r="D1010" s="404">
        <f>D82</f>
        <v>403585</v>
      </c>
      <c r="E1010" s="404">
        <f>E82</f>
        <v>984359</v>
      </c>
      <c r="F1010" s="404">
        <f>F82</f>
        <v>984359</v>
      </c>
    </row>
    <row r="1011" spans="1:6" s="155" customFormat="1" ht="47.25" x14ac:dyDescent="0.25">
      <c r="A1011" s="530"/>
      <c r="B1011" s="477" t="s">
        <v>616</v>
      </c>
      <c r="C1011" s="404">
        <f t="shared" ref="C1011:F1012" si="14">C981</f>
        <v>5525550.4000000004</v>
      </c>
      <c r="D1011" s="404">
        <f t="shared" si="14"/>
        <v>4525550.4000000004</v>
      </c>
      <c r="E1011" s="404">
        <f t="shared" si="14"/>
        <v>5525550.4000000004</v>
      </c>
      <c r="F1011" s="404">
        <f t="shared" si="14"/>
        <v>4525550.4000000004</v>
      </c>
    </row>
    <row r="1012" spans="1:6" s="155" customFormat="1" ht="63" x14ac:dyDescent="0.25">
      <c r="A1012" s="530"/>
      <c r="B1012" s="477" t="s">
        <v>617</v>
      </c>
      <c r="C1012" s="404">
        <f t="shared" si="14"/>
        <v>3282307.9</v>
      </c>
      <c r="D1012" s="404">
        <f t="shared" si="14"/>
        <v>3125254.16</v>
      </c>
      <c r="E1012" s="404">
        <f t="shared" si="14"/>
        <v>3282307.9</v>
      </c>
      <c r="F1012" s="404">
        <f t="shared" si="14"/>
        <v>3125254.16</v>
      </c>
    </row>
    <row r="1013" spans="1:6" s="155" customFormat="1" ht="15.75" x14ac:dyDescent="0.25">
      <c r="A1013" s="530"/>
      <c r="B1013" s="477" t="s">
        <v>22</v>
      </c>
      <c r="C1013" s="404">
        <f>C1006+C964+C681+C243</f>
        <v>15806097.789999997</v>
      </c>
      <c r="D1013" s="404">
        <f>D1006+D964+D681+D243</f>
        <v>17599906.029999997</v>
      </c>
      <c r="E1013" s="404">
        <f>E1006+E964+E681+E243</f>
        <v>74547390.689999998</v>
      </c>
      <c r="F1013" s="404">
        <f>F1006+F964+F681+F243</f>
        <v>71944026.560000002</v>
      </c>
    </row>
    <row r="1014" spans="1:6" s="155" customFormat="1" ht="15.75" x14ac:dyDescent="0.25">
      <c r="A1014" s="530"/>
      <c r="B1014" s="477" t="s">
        <v>144</v>
      </c>
      <c r="C1014" s="404">
        <f>C83+C172+C244+C682+C852</f>
        <v>90112204.450000003</v>
      </c>
      <c r="D1014" s="404">
        <f>D83+D172+D244+D682+D852</f>
        <v>56356007.369999997</v>
      </c>
      <c r="E1014" s="404">
        <f>E83+E172+E244+E682+E852</f>
        <v>176943542.44999999</v>
      </c>
      <c r="F1014" s="404">
        <f>F83+F172+F244+F682+F852</f>
        <v>174852146.41</v>
      </c>
    </row>
    <row r="1015" spans="1:6" s="155" customFormat="1" ht="15.75" x14ac:dyDescent="0.25">
      <c r="A1015" s="530"/>
      <c r="B1015" s="477" t="s">
        <v>139</v>
      </c>
      <c r="C1015" s="404">
        <f>C683+C853</f>
        <v>17500</v>
      </c>
      <c r="D1015" s="404">
        <f>D683+D853</f>
        <v>17500</v>
      </c>
      <c r="E1015" s="404">
        <f>E683+E853</f>
        <v>166500</v>
      </c>
      <c r="F1015" s="404">
        <f>F683+F853</f>
        <v>1355713.95</v>
      </c>
    </row>
    <row r="1016" spans="1:6" x14ac:dyDescent="0.25">
      <c r="A1016" s="530"/>
      <c r="B1016" s="387"/>
      <c r="C1016" s="404"/>
      <c r="D1016" s="404"/>
      <c r="E1016" s="404"/>
      <c r="F1016" s="404"/>
    </row>
    <row r="1017" spans="1:6" x14ac:dyDescent="0.25">
      <c r="A1017" s="530"/>
      <c r="B1017" s="387"/>
      <c r="C1017" s="440"/>
      <c r="E1017" s="531"/>
      <c r="F1017" s="531"/>
    </row>
    <row r="1018" spans="1:6" x14ac:dyDescent="0.25">
      <c r="A1018" s="530"/>
      <c r="C1018" s="518"/>
      <c r="D1018" s="518"/>
      <c r="E1018" s="518"/>
      <c r="F1018" s="518"/>
    </row>
    <row r="1019" spans="1:6" x14ac:dyDescent="0.25">
      <c r="A1019" s="530"/>
      <c r="E1019" s="442"/>
      <c r="F1019" s="442"/>
    </row>
    <row r="1020" spans="1:6" x14ac:dyDescent="0.25">
      <c r="A1020" s="530"/>
      <c r="E1020" s="442"/>
      <c r="F1020" s="442"/>
    </row>
    <row r="1021" spans="1:6" x14ac:dyDescent="0.25">
      <c r="A1021" s="530"/>
      <c r="E1021" s="442"/>
      <c r="F1021" s="442"/>
    </row>
    <row r="1022" spans="1:6" x14ac:dyDescent="0.25">
      <c r="A1022" s="530"/>
      <c r="E1022" s="442"/>
      <c r="F1022" s="442"/>
    </row>
    <row r="1023" spans="1:6" x14ac:dyDescent="0.25">
      <c r="A1023" s="530"/>
      <c r="E1023" s="442"/>
      <c r="F1023" s="442"/>
    </row>
    <row r="1024" spans="1:6" x14ac:dyDescent="0.25">
      <c r="E1024" s="442"/>
      <c r="F1024" s="442"/>
    </row>
  </sheetData>
  <mergeCells count="48">
    <mergeCell ref="A3:F3"/>
    <mergeCell ref="A85:F85"/>
    <mergeCell ref="A4:A5"/>
    <mergeCell ref="B4:B5"/>
    <mergeCell ref="C4:D4"/>
    <mergeCell ref="E4:F4"/>
    <mergeCell ref="A6:F6"/>
    <mergeCell ref="A7:F7"/>
    <mergeCell ref="A38:F38"/>
    <mergeCell ref="A190:F190"/>
    <mergeCell ref="A86:F86"/>
    <mergeCell ref="A93:F93"/>
    <mergeCell ref="A100:F100"/>
    <mergeCell ref="A105:F105"/>
    <mergeCell ref="A112:F112"/>
    <mergeCell ref="A121:F121"/>
    <mergeCell ref="A148:F148"/>
    <mergeCell ref="A155:F155"/>
    <mergeCell ref="A174:F174"/>
    <mergeCell ref="A175:F175"/>
    <mergeCell ref="A180:F180"/>
    <mergeCell ref="B700:F700"/>
    <mergeCell ref="A200:F200"/>
    <mergeCell ref="A209:F209"/>
    <mergeCell ref="A214:F214"/>
    <mergeCell ref="A219:F219"/>
    <mergeCell ref="A229:F229"/>
    <mergeCell ref="A236:F236"/>
    <mergeCell ref="B246:F246"/>
    <mergeCell ref="A247:F247"/>
    <mergeCell ref="A459:F459"/>
    <mergeCell ref="A684:F684"/>
    <mergeCell ref="A685:F685"/>
    <mergeCell ref="A856:F856"/>
    <mergeCell ref="A966:F966"/>
    <mergeCell ref="A984:F984"/>
    <mergeCell ref="A766:F766"/>
    <mergeCell ref="A791:F791"/>
    <mergeCell ref="A810:F810"/>
    <mergeCell ref="A815:F815"/>
    <mergeCell ref="A826:F826"/>
    <mergeCell ref="A855:F855"/>
    <mergeCell ref="A761:F761"/>
    <mergeCell ref="A715:F715"/>
    <mergeCell ref="A725:F725"/>
    <mergeCell ref="A736:F736"/>
    <mergeCell ref="A749:F749"/>
    <mergeCell ref="A754:F754"/>
  </mergeCells>
  <pageMargins left="0.59055118110236227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2016</vt:lpstr>
      <vt:lpstr>2017</vt:lpstr>
      <vt:lpstr>2018</vt:lpstr>
      <vt:lpstr>2019</vt:lpstr>
      <vt:lpstr>Форма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Tesla</cp:lastModifiedBy>
  <cp:lastPrinted>2020-03-20T07:32:27Z</cp:lastPrinted>
  <dcterms:created xsi:type="dcterms:W3CDTF">2016-05-05T14:41:55Z</dcterms:created>
  <dcterms:modified xsi:type="dcterms:W3CDTF">2020-06-02T13:42:42Z</dcterms:modified>
</cp:coreProperties>
</file>